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0" yWindow="855" windowWidth="14400" windowHeight="7335"/>
  </bookViews>
  <sheets>
    <sheet name="Inhoud" sheetId="5" r:id="rId1"/>
    <sheet name="Toelichting" sheetId="9" r:id="rId2"/>
    <sheet name="Totaal" sheetId="4" r:id="rId3"/>
    <sheet name="R&amp;D" sheetId="1" r:id="rId4"/>
    <sheet name="Innovatie" sheetId="2" r:id="rId5"/>
    <sheet name="R&amp;D + Innovatie" sheetId="8" r:id="rId6"/>
    <sheet name="Fiscaal" sheetId="3" r:id="rId7"/>
    <sheet name="Type" sheetId="6" r:id="rId8"/>
    <sheet name="NABS 2007" sheetId="7" r:id="rId9"/>
  </sheets>
  <externalReferences>
    <externalReference r:id="rId10"/>
  </externalReferences>
  <definedNames>
    <definedName name="_xlnm.Print_Area" localSheetId="0">Inhoud!$A$1:$A$11</definedName>
    <definedName name="_xlnm.Print_Area" localSheetId="3">'R&amp;D'!$A$1:$V$225</definedName>
  </definedNames>
  <calcPr calcId="145621"/>
</workbook>
</file>

<file path=xl/calcChain.xml><?xml version="1.0" encoding="utf-8"?>
<calcChain xmlns="http://schemas.openxmlformats.org/spreadsheetml/2006/main">
  <c r="B5" i="3" l="1"/>
  <c r="B14" i="3" l="1"/>
  <c r="D63" i="1" l="1"/>
  <c r="E63" i="1"/>
  <c r="F63" i="1"/>
  <c r="G63" i="1"/>
  <c r="H63" i="1"/>
  <c r="I63" i="1"/>
  <c r="C63" i="1"/>
  <c r="D254" i="6" l="1"/>
  <c r="E254" i="6"/>
  <c r="F254" i="6"/>
  <c r="G254" i="6"/>
  <c r="H254" i="6"/>
  <c r="I254" i="6"/>
  <c r="C254" i="6"/>
  <c r="D253" i="6"/>
  <c r="E253" i="6"/>
  <c r="F253" i="6"/>
  <c r="G253" i="6"/>
  <c r="H253" i="6"/>
  <c r="I253" i="6"/>
  <c r="C253" i="6"/>
  <c r="D252" i="6"/>
  <c r="E252" i="6"/>
  <c r="F252" i="6"/>
  <c r="G252" i="6"/>
  <c r="H252" i="6"/>
  <c r="I252" i="6"/>
  <c r="C252" i="6"/>
  <c r="D251" i="6"/>
  <c r="E251" i="6"/>
  <c r="F251" i="6"/>
  <c r="G251" i="6"/>
  <c r="H251" i="6"/>
  <c r="I251" i="6"/>
  <c r="C251" i="6"/>
  <c r="D250" i="6"/>
  <c r="E250" i="6"/>
  <c r="F250" i="6"/>
  <c r="G250" i="6"/>
  <c r="H250" i="6"/>
  <c r="I250" i="6"/>
  <c r="C250" i="6"/>
  <c r="D249" i="6"/>
  <c r="E249" i="6"/>
  <c r="F249" i="6"/>
  <c r="G249" i="6"/>
  <c r="H249" i="6"/>
  <c r="I249" i="6"/>
  <c r="C249" i="6"/>
  <c r="D247" i="6"/>
  <c r="E247" i="6"/>
  <c r="F247" i="6"/>
  <c r="G247" i="6"/>
  <c r="H247" i="6"/>
  <c r="I247" i="6"/>
  <c r="C247" i="6"/>
  <c r="D246" i="6"/>
  <c r="E246" i="6"/>
  <c r="F246" i="6"/>
  <c r="G246" i="6"/>
  <c r="H246" i="6"/>
  <c r="I246" i="6"/>
  <c r="C246" i="6"/>
  <c r="D241" i="6"/>
  <c r="E241" i="6"/>
  <c r="F241" i="6"/>
  <c r="G241" i="6"/>
  <c r="H241" i="6"/>
  <c r="I241" i="6"/>
  <c r="C241" i="6"/>
  <c r="D240" i="6"/>
  <c r="E240" i="6"/>
  <c r="F240" i="6"/>
  <c r="G240" i="6"/>
  <c r="H240" i="6"/>
  <c r="I240" i="6"/>
  <c r="C240" i="6"/>
  <c r="D239" i="6"/>
  <c r="E239" i="6"/>
  <c r="F239" i="6"/>
  <c r="G239" i="6"/>
  <c r="H239" i="6"/>
  <c r="I239" i="6"/>
  <c r="C239" i="6"/>
  <c r="D238" i="6"/>
  <c r="E238" i="6"/>
  <c r="F238" i="6"/>
  <c r="G238" i="6"/>
  <c r="H238" i="6"/>
  <c r="I238" i="6"/>
  <c r="C238" i="6"/>
  <c r="D237" i="6"/>
  <c r="E237" i="6"/>
  <c r="F237" i="6"/>
  <c r="G237" i="6"/>
  <c r="H237" i="6"/>
  <c r="I237" i="6"/>
  <c r="C237" i="6"/>
  <c r="D236" i="6"/>
  <c r="E236" i="6"/>
  <c r="F236" i="6"/>
  <c r="G236" i="6"/>
  <c r="H236" i="6"/>
  <c r="I236" i="6"/>
  <c r="C236" i="6"/>
  <c r="D235" i="6"/>
  <c r="E235" i="6"/>
  <c r="F235" i="6"/>
  <c r="G235" i="6"/>
  <c r="H235" i="6"/>
  <c r="I235" i="6"/>
  <c r="C235" i="6"/>
  <c r="D234" i="6"/>
  <c r="E234" i="6"/>
  <c r="F234" i="6"/>
  <c r="G234" i="6"/>
  <c r="H234" i="6"/>
  <c r="I234" i="6"/>
  <c r="C234" i="6"/>
  <c r="D233" i="6"/>
  <c r="E233" i="6"/>
  <c r="F233" i="6"/>
  <c r="G233" i="6"/>
  <c r="H233" i="6"/>
  <c r="I233" i="6"/>
  <c r="C233" i="6"/>
  <c r="D232" i="6"/>
  <c r="E232" i="6"/>
  <c r="F232" i="6"/>
  <c r="G232" i="6"/>
  <c r="H232" i="6"/>
  <c r="I232" i="6"/>
  <c r="C232" i="6"/>
  <c r="D223" i="6"/>
  <c r="E223" i="6"/>
  <c r="F223" i="6"/>
  <c r="G223" i="6"/>
  <c r="H223" i="6"/>
  <c r="I223" i="6"/>
  <c r="C223" i="6"/>
  <c r="D222" i="6"/>
  <c r="E222" i="6"/>
  <c r="F222" i="6"/>
  <c r="G222" i="6"/>
  <c r="H222" i="6"/>
  <c r="I222" i="6"/>
  <c r="C222" i="6"/>
  <c r="D221" i="6"/>
  <c r="E221" i="6"/>
  <c r="F221" i="6"/>
  <c r="G221" i="6"/>
  <c r="H221" i="6"/>
  <c r="I221" i="6"/>
  <c r="C221" i="6"/>
  <c r="D220" i="6"/>
  <c r="E220" i="6"/>
  <c r="F220" i="6"/>
  <c r="G220" i="6"/>
  <c r="H220" i="6"/>
  <c r="I220" i="6"/>
  <c r="C220" i="6"/>
  <c r="D219" i="6"/>
  <c r="E219" i="6"/>
  <c r="F219" i="6"/>
  <c r="G219" i="6"/>
  <c r="H219" i="6"/>
  <c r="I219" i="6"/>
  <c r="C219" i="6"/>
  <c r="D217" i="6"/>
  <c r="E217" i="6"/>
  <c r="F217" i="6"/>
  <c r="G217" i="6"/>
  <c r="H217" i="6"/>
  <c r="I217" i="6"/>
  <c r="C217" i="6"/>
  <c r="D216" i="6"/>
  <c r="E216" i="6"/>
  <c r="F216" i="6"/>
  <c r="G216" i="6"/>
  <c r="H216" i="6"/>
  <c r="I216" i="6"/>
  <c r="C216" i="6"/>
  <c r="D215" i="6"/>
  <c r="E215" i="6"/>
  <c r="F215" i="6"/>
  <c r="G215" i="6"/>
  <c r="H215" i="6"/>
  <c r="I215" i="6"/>
  <c r="C215" i="6"/>
  <c r="D214" i="6"/>
  <c r="E214" i="6"/>
  <c r="F214" i="6"/>
  <c r="G214" i="6"/>
  <c r="H214" i="6"/>
  <c r="I214" i="6"/>
  <c r="C214" i="6"/>
  <c r="I208" i="6"/>
  <c r="H208" i="6"/>
  <c r="G208" i="6"/>
  <c r="F208" i="6"/>
  <c r="E208" i="6"/>
  <c r="D208" i="6"/>
  <c r="C208" i="6"/>
  <c r="J207" i="6"/>
  <c r="J206" i="6"/>
  <c r="J205" i="6"/>
  <c r="J202" i="6"/>
  <c r="J201" i="6"/>
  <c r="J200" i="6"/>
  <c r="J195" i="6"/>
  <c r="D207" i="1"/>
  <c r="E207" i="1"/>
  <c r="F207" i="1"/>
  <c r="G207" i="1"/>
  <c r="H207" i="1"/>
  <c r="I207" i="1"/>
  <c r="C207" i="1"/>
  <c r="D64" i="6"/>
  <c r="D218" i="6" s="1"/>
  <c r="D224" i="6" s="1"/>
  <c r="E64" i="6"/>
  <c r="E218" i="6" s="1"/>
  <c r="E224" i="6" s="1"/>
  <c r="F64" i="6"/>
  <c r="F218" i="6" s="1"/>
  <c r="F224" i="6" s="1"/>
  <c r="G64" i="6"/>
  <c r="G218" i="6" s="1"/>
  <c r="G224" i="6" s="1"/>
  <c r="H64" i="6"/>
  <c r="H210" i="6" s="1"/>
  <c r="I64" i="6"/>
  <c r="I218" i="6" s="1"/>
  <c r="I224" i="6" s="1"/>
  <c r="I185" i="6"/>
  <c r="H185" i="6"/>
  <c r="G185" i="6"/>
  <c r="F185" i="6"/>
  <c r="E185" i="6"/>
  <c r="D185" i="6"/>
  <c r="C185" i="6"/>
  <c r="J184" i="6"/>
  <c r="J183" i="6"/>
  <c r="J182" i="6"/>
  <c r="J181" i="6"/>
  <c r="I174" i="6"/>
  <c r="H174" i="6"/>
  <c r="G174" i="6"/>
  <c r="F174" i="6"/>
  <c r="E174" i="6"/>
  <c r="D174" i="6"/>
  <c r="C174" i="6"/>
  <c r="I167" i="6"/>
  <c r="H167" i="6"/>
  <c r="G167" i="6"/>
  <c r="F167" i="6"/>
  <c r="E167" i="6"/>
  <c r="D167" i="6"/>
  <c r="C167" i="6"/>
  <c r="I163" i="6"/>
  <c r="H163" i="6"/>
  <c r="G163" i="6"/>
  <c r="F163" i="6"/>
  <c r="E163" i="6"/>
  <c r="D163" i="6"/>
  <c r="C163" i="6"/>
  <c r="I161" i="6"/>
  <c r="H161" i="6"/>
  <c r="G161" i="6"/>
  <c r="F161" i="6"/>
  <c r="E161" i="6"/>
  <c r="D161" i="6"/>
  <c r="C161" i="6"/>
  <c r="D158" i="6"/>
  <c r="C158" i="6"/>
  <c r="I156" i="6"/>
  <c r="G156" i="6"/>
  <c r="H156" i="6" s="1"/>
  <c r="F156" i="6"/>
  <c r="E156" i="6"/>
  <c r="D156" i="6"/>
  <c r="C156" i="6"/>
  <c r="I150" i="6"/>
  <c r="H150" i="6"/>
  <c r="G150" i="6"/>
  <c r="F150" i="6"/>
  <c r="E150" i="6"/>
  <c r="D150" i="6"/>
  <c r="C150" i="6"/>
  <c r="G149" i="6"/>
  <c r="F149" i="6"/>
  <c r="D149" i="6"/>
  <c r="C139" i="6"/>
  <c r="I135" i="6"/>
  <c r="H135" i="6"/>
  <c r="G135" i="6"/>
  <c r="F135" i="6"/>
  <c r="E135" i="6"/>
  <c r="D135" i="6"/>
  <c r="C135" i="6"/>
  <c r="I134" i="6"/>
  <c r="H134" i="6"/>
  <c r="G134" i="6"/>
  <c r="F134" i="6"/>
  <c r="E134" i="6"/>
  <c r="D134" i="6"/>
  <c r="C134" i="6"/>
  <c r="I131" i="6"/>
  <c r="H131" i="6"/>
  <c r="G131" i="6"/>
  <c r="F131" i="6"/>
  <c r="E131" i="6"/>
  <c r="D131" i="6"/>
  <c r="C131" i="6"/>
  <c r="I129" i="6"/>
  <c r="H129" i="6"/>
  <c r="G129" i="6"/>
  <c r="F129" i="6"/>
  <c r="E129" i="6"/>
  <c r="D129" i="6"/>
  <c r="C129" i="6"/>
  <c r="I126" i="6"/>
  <c r="H126" i="6"/>
  <c r="G126" i="6"/>
  <c r="F126" i="6"/>
  <c r="E126" i="6"/>
  <c r="D126" i="6"/>
  <c r="C126" i="6"/>
  <c r="C123" i="6"/>
  <c r="I111" i="6"/>
  <c r="H111" i="6"/>
  <c r="G111" i="6"/>
  <c r="F111" i="6"/>
  <c r="E111" i="6"/>
  <c r="D111" i="6"/>
  <c r="C111" i="6"/>
  <c r="I108" i="6"/>
  <c r="H108" i="6"/>
  <c r="G108" i="6"/>
  <c r="F108" i="6"/>
  <c r="E108" i="6"/>
  <c r="D108" i="6"/>
  <c r="C108" i="6"/>
  <c r="D104" i="6"/>
  <c r="E104" i="6"/>
  <c r="F104" i="6"/>
  <c r="G104" i="6"/>
  <c r="H104" i="6"/>
  <c r="I104" i="6"/>
  <c r="C104" i="6"/>
  <c r="J101" i="6"/>
  <c r="J100" i="6"/>
  <c r="J99" i="6"/>
  <c r="J98" i="6"/>
  <c r="J92" i="6"/>
  <c r="J91" i="6"/>
  <c r="J89" i="6"/>
  <c r="J87" i="6"/>
  <c r="J86" i="6"/>
  <c r="J85" i="6"/>
  <c r="J84" i="6"/>
  <c r="D72" i="6"/>
  <c r="E72" i="6"/>
  <c r="F72" i="6"/>
  <c r="G72" i="6"/>
  <c r="H72" i="6"/>
  <c r="I72" i="6"/>
  <c r="C72" i="6"/>
  <c r="D210" i="6" l="1"/>
  <c r="F210" i="6"/>
  <c r="E210" i="6"/>
  <c r="I210" i="6"/>
  <c r="G210" i="6"/>
  <c r="H218" i="6"/>
  <c r="H224" i="6" s="1"/>
  <c r="I178" i="6"/>
  <c r="E178" i="6"/>
  <c r="F178" i="6"/>
  <c r="C178" i="6"/>
  <c r="G178" i="6"/>
  <c r="D178" i="6"/>
  <c r="H178" i="6"/>
  <c r="C64" i="6" l="1"/>
  <c r="C218" i="6" s="1"/>
  <c r="C224" i="6" s="1"/>
  <c r="D30" i="6"/>
  <c r="E30" i="6"/>
  <c r="F30" i="6"/>
  <c r="G30" i="6"/>
  <c r="H30" i="6"/>
  <c r="I30" i="6"/>
  <c r="D24" i="6"/>
  <c r="E24" i="6"/>
  <c r="F24" i="6"/>
  <c r="G24" i="6"/>
  <c r="H24" i="6"/>
  <c r="I24" i="6"/>
  <c r="C24" i="6"/>
  <c r="I17" i="6"/>
  <c r="H17" i="6"/>
  <c r="G17" i="6"/>
  <c r="F17" i="6"/>
  <c r="E17" i="6"/>
  <c r="D17" i="6"/>
  <c r="C17" i="6"/>
  <c r="I8" i="6"/>
  <c r="H8" i="6"/>
  <c r="G8" i="6"/>
  <c r="F8" i="6"/>
  <c r="E8" i="6"/>
  <c r="D8" i="6"/>
  <c r="C8" i="6"/>
  <c r="D14" i="3" l="1"/>
  <c r="C14" i="3"/>
  <c r="D87" i="2" l="1"/>
  <c r="E87" i="2"/>
  <c r="F87" i="2"/>
  <c r="G87" i="2"/>
  <c r="H87" i="2"/>
  <c r="I87" i="2"/>
  <c r="D66" i="2"/>
  <c r="E66" i="2"/>
  <c r="F66" i="2"/>
  <c r="G66" i="2"/>
  <c r="H66" i="2"/>
  <c r="I66" i="2"/>
  <c r="C66" i="2"/>
  <c r="D32" i="2"/>
  <c r="E32" i="2"/>
  <c r="F32" i="2"/>
  <c r="G32" i="2"/>
  <c r="H32" i="2"/>
  <c r="I32" i="2"/>
  <c r="C32" i="2"/>
  <c r="C42" i="8" l="1"/>
  <c r="D42" i="8"/>
  <c r="E42" i="8"/>
  <c r="F42" i="8"/>
  <c r="G42" i="8"/>
  <c r="H42" i="8"/>
  <c r="B42" i="8"/>
  <c r="C41" i="8"/>
  <c r="D41" i="8"/>
  <c r="E41" i="8"/>
  <c r="F41" i="8"/>
  <c r="G41" i="8"/>
  <c r="H41" i="8"/>
  <c r="B41" i="8"/>
  <c r="C39" i="8"/>
  <c r="D39" i="8"/>
  <c r="E39" i="8"/>
  <c r="F39" i="8"/>
  <c r="G39" i="8"/>
  <c r="H39" i="8"/>
  <c r="B39" i="8"/>
  <c r="C37" i="8"/>
  <c r="D37" i="8"/>
  <c r="E37" i="8"/>
  <c r="F37" i="8"/>
  <c r="G37" i="8"/>
  <c r="H37" i="8"/>
  <c r="B37" i="8"/>
  <c r="C27" i="8"/>
  <c r="D27" i="8"/>
  <c r="E27" i="8"/>
  <c r="F27" i="8"/>
  <c r="G27" i="8"/>
  <c r="H27" i="8"/>
  <c r="B27" i="8"/>
  <c r="C20" i="8"/>
  <c r="D20" i="8"/>
  <c r="E20" i="8"/>
  <c r="F20" i="8"/>
  <c r="G20" i="8"/>
  <c r="H20" i="8"/>
  <c r="B20" i="8"/>
  <c r="C19" i="8"/>
  <c r="D19" i="8"/>
  <c r="E19" i="8"/>
  <c r="F19" i="8"/>
  <c r="G19" i="8"/>
  <c r="H19" i="8"/>
  <c r="B19" i="8"/>
  <c r="Q152" i="1" l="1"/>
  <c r="R152" i="1"/>
  <c r="S152" i="1"/>
  <c r="T152" i="1"/>
  <c r="U152" i="1"/>
  <c r="V152" i="1"/>
  <c r="P152" i="1"/>
  <c r="J36" i="2" l="1"/>
  <c r="I8" i="3" l="1"/>
  <c r="D103" i="1"/>
  <c r="C11" i="8" s="1"/>
  <c r="E103" i="1"/>
  <c r="D11" i="8" s="1"/>
  <c r="F103" i="1"/>
  <c r="E11" i="8" s="1"/>
  <c r="G103" i="1"/>
  <c r="F11" i="8" s="1"/>
  <c r="H103" i="1"/>
  <c r="G11" i="8" s="1"/>
  <c r="I103" i="1"/>
  <c r="H11" i="8" s="1"/>
  <c r="C103" i="1"/>
  <c r="B11" i="8" s="1"/>
  <c r="J100" i="1"/>
  <c r="J99" i="1"/>
  <c r="J98" i="1"/>
  <c r="J97" i="1"/>
  <c r="J91" i="1" l="1"/>
  <c r="J86" i="1"/>
  <c r="J85" i="1"/>
  <c r="J84" i="1"/>
  <c r="J88" i="1"/>
  <c r="J90" i="1"/>
  <c r="J83" i="1"/>
  <c r="I62" i="2" l="1"/>
  <c r="H62" i="2"/>
  <c r="G62" i="2"/>
  <c r="F62" i="2"/>
  <c r="E62" i="2"/>
  <c r="D62" i="2"/>
  <c r="C62" i="2"/>
  <c r="I59" i="2"/>
  <c r="H59" i="2"/>
  <c r="G59" i="2"/>
  <c r="F59" i="2"/>
  <c r="E59" i="2"/>
  <c r="D59" i="2"/>
  <c r="C59" i="2"/>
  <c r="D2" i="2"/>
  <c r="E2" i="2"/>
  <c r="F2" i="2"/>
  <c r="C2" i="2"/>
  <c r="P167" i="1"/>
  <c r="V166" i="1"/>
  <c r="U166" i="1"/>
  <c r="T166" i="1"/>
  <c r="S166" i="1"/>
  <c r="R166" i="1"/>
  <c r="Q166" i="1"/>
  <c r="P166" i="1"/>
  <c r="I133" i="1"/>
  <c r="H133" i="1"/>
  <c r="G133" i="1"/>
  <c r="I173" i="1"/>
  <c r="H173" i="1"/>
  <c r="G173" i="1"/>
  <c r="F173" i="1"/>
  <c r="E173" i="1"/>
  <c r="D173" i="1"/>
  <c r="C173" i="1"/>
  <c r="I168" i="1"/>
  <c r="H168" i="1"/>
  <c r="G168" i="1"/>
  <c r="F168" i="1"/>
  <c r="E168" i="1"/>
  <c r="D168" i="1"/>
  <c r="C168" i="1"/>
  <c r="V164" i="1" l="1"/>
  <c r="U164" i="1"/>
  <c r="T164" i="1"/>
  <c r="S164" i="1"/>
  <c r="R164" i="1"/>
  <c r="Q164" i="1"/>
  <c r="P164" i="1"/>
  <c r="P162" i="1"/>
  <c r="Q162" i="1"/>
  <c r="R162" i="1"/>
  <c r="S162" i="1"/>
  <c r="T162" i="1"/>
  <c r="U162" i="1"/>
  <c r="V162" i="1"/>
  <c r="I161" i="1"/>
  <c r="V161" i="1" s="1"/>
  <c r="H161" i="1"/>
  <c r="U161" i="1" s="1"/>
  <c r="G161" i="1"/>
  <c r="T161" i="1" s="1"/>
  <c r="F161" i="1"/>
  <c r="S161" i="1" s="1"/>
  <c r="E161" i="1"/>
  <c r="R161" i="1" s="1"/>
  <c r="D161" i="1"/>
  <c r="Q161" i="1" s="1"/>
  <c r="C161" i="1"/>
  <c r="P161" i="1" s="1"/>
  <c r="I157" i="1"/>
  <c r="H157" i="1"/>
  <c r="G157" i="1"/>
  <c r="F157" i="1"/>
  <c r="E157" i="1"/>
  <c r="D157" i="1"/>
  <c r="C157" i="1"/>
  <c r="P154" i="1"/>
  <c r="Q154" i="1"/>
  <c r="R154" i="1"/>
  <c r="S154" i="1"/>
  <c r="T154" i="1"/>
  <c r="U154" i="1"/>
  <c r="V154" i="1"/>
  <c r="D153" i="1"/>
  <c r="C153" i="1"/>
  <c r="I151" i="1"/>
  <c r="G151" i="1"/>
  <c r="H151" i="1" s="1"/>
  <c r="F151" i="1"/>
  <c r="E151" i="1"/>
  <c r="D151" i="1"/>
  <c r="C151" i="1"/>
  <c r="I149" i="1"/>
  <c r="V149" i="1" s="1"/>
  <c r="H149" i="1"/>
  <c r="U149" i="1" s="1"/>
  <c r="G149" i="1"/>
  <c r="T149" i="1" s="1"/>
  <c r="F149" i="1"/>
  <c r="S149" i="1" s="1"/>
  <c r="E149" i="1"/>
  <c r="R149" i="1" s="1"/>
  <c r="D149" i="1"/>
  <c r="Q149" i="1" s="1"/>
  <c r="C149" i="1"/>
  <c r="P149" i="1" s="1"/>
  <c r="G148" i="1"/>
  <c r="T148" i="1" s="1"/>
  <c r="F148" i="1"/>
  <c r="S148" i="1" s="1"/>
  <c r="D148" i="1"/>
  <c r="Q148" i="1" s="1"/>
  <c r="V148" i="1"/>
  <c r="U148" i="1"/>
  <c r="R148" i="1"/>
  <c r="P148" i="1"/>
  <c r="P146" i="1"/>
  <c r="Q146" i="1"/>
  <c r="R146" i="1"/>
  <c r="S146" i="1"/>
  <c r="T146" i="1"/>
  <c r="U146" i="1"/>
  <c r="V146" i="1"/>
  <c r="V147" i="1"/>
  <c r="U147" i="1"/>
  <c r="T147" i="1"/>
  <c r="S147" i="1"/>
  <c r="R147" i="1"/>
  <c r="Q147" i="1"/>
  <c r="P147" i="1"/>
  <c r="V145" i="1"/>
  <c r="U145" i="1"/>
  <c r="T145" i="1"/>
  <c r="S145" i="1"/>
  <c r="R145" i="1"/>
  <c r="Q145" i="1"/>
  <c r="P145" i="1"/>
  <c r="V144" i="1"/>
  <c r="U144" i="1"/>
  <c r="T144" i="1"/>
  <c r="S144" i="1"/>
  <c r="R144" i="1"/>
  <c r="Q144" i="1"/>
  <c r="P144" i="1"/>
  <c r="V143" i="1"/>
  <c r="U143" i="1"/>
  <c r="T143" i="1"/>
  <c r="S143" i="1"/>
  <c r="R143" i="1"/>
  <c r="Q143" i="1"/>
  <c r="P143" i="1"/>
  <c r="V141" i="1"/>
  <c r="U141" i="1"/>
  <c r="T141" i="1"/>
  <c r="S141" i="1"/>
  <c r="R141" i="1"/>
  <c r="Q141" i="1"/>
  <c r="P141" i="1"/>
  <c r="V140" i="1"/>
  <c r="U140" i="1"/>
  <c r="T140" i="1"/>
  <c r="S140" i="1"/>
  <c r="R140" i="1"/>
  <c r="Q140" i="1"/>
  <c r="P140" i="1"/>
  <c r="C138" i="1"/>
  <c r="V137" i="1"/>
  <c r="U137" i="1"/>
  <c r="T137" i="1"/>
  <c r="S137" i="1"/>
  <c r="R137" i="1"/>
  <c r="Q137" i="1"/>
  <c r="P137" i="1"/>
  <c r="V136" i="1"/>
  <c r="U136" i="1"/>
  <c r="T136" i="1"/>
  <c r="S136" i="1"/>
  <c r="R136" i="1"/>
  <c r="Q136" i="1"/>
  <c r="P136" i="1"/>
  <c r="V135" i="1"/>
  <c r="U135" i="1"/>
  <c r="T135" i="1"/>
  <c r="S135" i="1"/>
  <c r="R135" i="1"/>
  <c r="Q135" i="1"/>
  <c r="P135" i="1"/>
  <c r="Q142" i="1" l="1"/>
  <c r="U142" i="1"/>
  <c r="V142" i="1"/>
  <c r="P142" i="1"/>
  <c r="T142" i="1"/>
  <c r="R142" i="1"/>
  <c r="S142" i="1"/>
  <c r="I134" i="1" l="1"/>
  <c r="V134" i="1" s="1"/>
  <c r="H134" i="1"/>
  <c r="U134" i="1" s="1"/>
  <c r="G134" i="1"/>
  <c r="T134" i="1" s="1"/>
  <c r="F134" i="1"/>
  <c r="S134" i="1" s="1"/>
  <c r="E134" i="1"/>
  <c r="R134" i="1" s="1"/>
  <c r="D134" i="1"/>
  <c r="Q134" i="1" s="1"/>
  <c r="C134" i="1"/>
  <c r="P134" i="1" s="1"/>
  <c r="V133" i="1" l="1"/>
  <c r="U133" i="1"/>
  <c r="T133" i="1"/>
  <c r="F133" i="1"/>
  <c r="S133" i="1" s="1"/>
  <c r="E133" i="1"/>
  <c r="R133" i="1" s="1"/>
  <c r="D133" i="1"/>
  <c r="Q133" i="1" s="1"/>
  <c r="C133" i="1"/>
  <c r="F130" i="1" l="1"/>
  <c r="E130" i="1"/>
  <c r="D130" i="1"/>
  <c r="C130" i="1"/>
  <c r="I130" i="1"/>
  <c r="H130" i="1"/>
  <c r="G130" i="1"/>
  <c r="I122" i="1"/>
  <c r="H122" i="1"/>
  <c r="G122" i="1"/>
  <c r="F122" i="1"/>
  <c r="E122" i="1"/>
  <c r="D122" i="1"/>
  <c r="C122" i="1"/>
  <c r="D117" i="1"/>
  <c r="E117" i="1"/>
  <c r="F117" i="1"/>
  <c r="G117" i="1"/>
  <c r="H117" i="1"/>
  <c r="I117" i="1"/>
  <c r="C117" i="1"/>
  <c r="C113" i="1"/>
  <c r="I108" i="1"/>
  <c r="H108" i="1"/>
  <c r="G108" i="1"/>
  <c r="F108" i="1"/>
  <c r="E108" i="1"/>
  <c r="D108" i="1"/>
  <c r="C108" i="1"/>
  <c r="I107" i="1"/>
  <c r="H107" i="1"/>
  <c r="G107" i="1"/>
  <c r="G177" i="1" s="1"/>
  <c r="F12" i="8" s="1"/>
  <c r="F107" i="1"/>
  <c r="E107" i="1"/>
  <c r="D107" i="1"/>
  <c r="C107" i="1"/>
  <c r="C177" i="1" s="1"/>
  <c r="B12" i="8" s="1"/>
  <c r="F177" i="1" l="1"/>
  <c r="E12" i="8" s="1"/>
  <c r="D177" i="1"/>
  <c r="C12" i="8" s="1"/>
  <c r="H177" i="1"/>
  <c r="G12" i="8" s="1"/>
  <c r="E177" i="1"/>
  <c r="D12" i="8" s="1"/>
  <c r="I177" i="1"/>
  <c r="H12" i="8" s="1"/>
  <c r="J199" i="1"/>
  <c r="J206" i="1"/>
  <c r="J205" i="1"/>
  <c r="J204" i="1"/>
  <c r="J203" i="1"/>
  <c r="J197" i="1"/>
  <c r="J196" i="1" l="1"/>
  <c r="J76" i="2" l="1"/>
  <c r="J75" i="2"/>
  <c r="D77" i="2"/>
  <c r="E77" i="2"/>
  <c r="F77" i="2"/>
  <c r="G77" i="2"/>
  <c r="H77" i="2"/>
  <c r="I77" i="2"/>
  <c r="C77" i="2"/>
  <c r="D184" i="1"/>
  <c r="C13" i="8" s="1"/>
  <c r="E184" i="1"/>
  <c r="D13" i="8" s="1"/>
  <c r="F184" i="1"/>
  <c r="E13" i="8" s="1"/>
  <c r="G184" i="1"/>
  <c r="F13" i="8" s="1"/>
  <c r="H184" i="1"/>
  <c r="G13" i="8" s="1"/>
  <c r="I184" i="1"/>
  <c r="H13" i="8" s="1"/>
  <c r="C184" i="1"/>
  <c r="B13" i="8" s="1"/>
  <c r="J183" i="1"/>
  <c r="J182" i="1"/>
  <c r="J181" i="1"/>
  <c r="J180" i="1"/>
  <c r="D4" i="1"/>
  <c r="D3" i="2" s="1"/>
  <c r="E4" i="1"/>
  <c r="F4" i="1"/>
  <c r="G4" i="1"/>
  <c r="G3" i="2" s="1"/>
  <c r="H4" i="1"/>
  <c r="H3" i="2" s="1"/>
  <c r="I4" i="1"/>
  <c r="C4" i="1"/>
  <c r="D12" i="4"/>
  <c r="E12" i="4"/>
  <c r="F12" i="4"/>
  <c r="G12" i="4"/>
  <c r="H12" i="4"/>
  <c r="I12" i="4"/>
  <c r="C12" i="4"/>
  <c r="F212" i="1" l="1"/>
  <c r="S212" i="1" s="1"/>
  <c r="F3" i="2"/>
  <c r="E3" i="2"/>
  <c r="C4" i="8"/>
  <c r="C3" i="3"/>
  <c r="D4" i="6" s="1"/>
  <c r="D213" i="6" s="1"/>
  <c r="C212" i="1"/>
  <c r="P212" i="1" s="1"/>
  <c r="C3" i="2"/>
  <c r="I3" i="2"/>
  <c r="G4" i="8"/>
  <c r="G18" i="8" s="1"/>
  <c r="G3" i="3"/>
  <c r="H4" i="6" s="1"/>
  <c r="H213" i="6" s="1"/>
  <c r="F3" i="3"/>
  <c r="G4" i="6" s="1"/>
  <c r="G213" i="6" s="1"/>
  <c r="F4" i="8"/>
  <c r="F18" i="8" s="1"/>
  <c r="I212" i="1"/>
  <c r="V212" i="1" s="1"/>
  <c r="G212" i="1"/>
  <c r="T212" i="1" s="1"/>
  <c r="E212" i="1"/>
  <c r="R212" i="1" s="1"/>
  <c r="C18" i="8"/>
  <c r="H212" i="1"/>
  <c r="U212" i="1" s="1"/>
  <c r="D212" i="1"/>
  <c r="Q212" i="1" s="1"/>
  <c r="B3" i="3" l="1"/>
  <c r="C4" i="6" s="1"/>
  <c r="C213" i="6" s="1"/>
  <c r="B4" i="8"/>
  <c r="B18" i="8" s="1"/>
  <c r="D3" i="3"/>
  <c r="E4" i="6" s="1"/>
  <c r="E213" i="6" s="1"/>
  <c r="D4" i="8"/>
  <c r="D18" i="8" s="1"/>
  <c r="H3" i="3"/>
  <c r="H4" i="8"/>
  <c r="H18" i="8" s="1"/>
  <c r="E3" i="3"/>
  <c r="F4" i="6" s="1"/>
  <c r="F213" i="6" s="1"/>
  <c r="E4" i="8"/>
  <c r="E18" i="8" s="1"/>
  <c r="H231" i="6"/>
  <c r="H3" i="7"/>
  <c r="H20" i="7" s="1"/>
  <c r="I4" i="6"/>
  <c r="I213" i="6" s="1"/>
  <c r="G231" i="6"/>
  <c r="G3" i="7"/>
  <c r="G20" i="7" s="1"/>
  <c r="D231" i="6"/>
  <c r="D3" i="7"/>
  <c r="D20" i="7" s="1"/>
  <c r="C231" i="6" l="1"/>
  <c r="C3" i="7"/>
  <c r="C20" i="7" s="1"/>
  <c r="F231" i="6"/>
  <c r="F3" i="7"/>
  <c r="F20" i="7" s="1"/>
  <c r="I3" i="7"/>
  <c r="I20" i="7" s="1"/>
  <c r="I231" i="6"/>
  <c r="E3" i="7"/>
  <c r="E20" i="7" s="1"/>
  <c r="E231" i="6"/>
  <c r="C18" i="7"/>
  <c r="C21" i="7" s="1"/>
  <c r="D18" i="7"/>
  <c r="E18" i="7"/>
  <c r="F18" i="7"/>
  <c r="G18" i="7"/>
  <c r="H18" i="7"/>
  <c r="I18" i="7"/>
  <c r="D26" i="7" l="1"/>
  <c r="H23" i="7"/>
  <c r="G25" i="7"/>
  <c r="C23" i="7"/>
  <c r="F24" i="7"/>
  <c r="I26" i="7"/>
  <c r="E22" i="7"/>
  <c r="C34" i="7"/>
  <c r="G29" i="7"/>
  <c r="C29" i="7"/>
  <c r="E34" i="7"/>
  <c r="I30" i="7"/>
  <c r="I34" i="7"/>
  <c r="I32" i="7"/>
  <c r="E21" i="7"/>
  <c r="G34" i="7"/>
  <c r="G31" i="7"/>
  <c r="E28" i="7"/>
  <c r="H21" i="7"/>
  <c r="H33" i="7"/>
  <c r="D33" i="7"/>
  <c r="G32" i="7"/>
  <c r="I31" i="7"/>
  <c r="D31" i="7"/>
  <c r="G30" i="7"/>
  <c r="I29" i="7"/>
  <c r="E29" i="7"/>
  <c r="H28" i="7"/>
  <c r="C28" i="7"/>
  <c r="E27" i="7"/>
  <c r="H26" i="7"/>
  <c r="C26" i="7"/>
  <c r="F25" i="7"/>
  <c r="I24" i="7"/>
  <c r="D24" i="7"/>
  <c r="G23" i="7"/>
  <c r="I22" i="7"/>
  <c r="D22" i="7"/>
  <c r="G21" i="7"/>
  <c r="H34" i="7"/>
  <c r="D34" i="7"/>
  <c r="G33" i="7"/>
  <c r="C33" i="7"/>
  <c r="E32" i="7"/>
  <c r="H31" i="7"/>
  <c r="C31" i="7"/>
  <c r="E30" i="7"/>
  <c r="H29" i="7"/>
  <c r="D29" i="7"/>
  <c r="G28" i="7"/>
  <c r="I27" i="7"/>
  <c r="D27" i="7"/>
  <c r="G26" i="7"/>
  <c r="I25" i="7"/>
  <c r="E25" i="7"/>
  <c r="H24" i="7"/>
  <c r="C24" i="7"/>
  <c r="E23" i="7"/>
  <c r="H22" i="7"/>
  <c r="C22" i="7"/>
  <c r="D30" i="7"/>
  <c r="H27" i="7"/>
  <c r="C27" i="7"/>
  <c r="E26" i="7"/>
  <c r="H25" i="7"/>
  <c r="D25" i="7"/>
  <c r="G24" i="7"/>
  <c r="I23" i="7"/>
  <c r="D23" i="7"/>
  <c r="G22" i="7"/>
  <c r="F33" i="7"/>
  <c r="D32" i="7"/>
  <c r="I21" i="7"/>
  <c r="D21" i="7"/>
  <c r="F34" i="7"/>
  <c r="I33" i="7"/>
  <c r="E33" i="7"/>
  <c r="H32" i="7"/>
  <c r="C32" i="7"/>
  <c r="E31" i="7"/>
  <c r="H30" i="7"/>
  <c r="C30" i="7"/>
  <c r="F29" i="7"/>
  <c r="I28" i="7"/>
  <c r="D28" i="7"/>
  <c r="G27" i="7"/>
  <c r="C25" i="7"/>
  <c r="E24" i="7"/>
  <c r="F30" i="7"/>
  <c r="F26" i="7"/>
  <c r="F22" i="7"/>
  <c r="F31" i="7"/>
  <c r="F27" i="7"/>
  <c r="F23" i="7"/>
  <c r="F21" i="7"/>
  <c r="F32" i="7"/>
  <c r="F28" i="7"/>
  <c r="E9" i="8"/>
  <c r="F9" i="8"/>
  <c r="G9" i="8"/>
  <c r="D259" i="6"/>
  <c r="D272" i="6" s="1"/>
  <c r="H259" i="6"/>
  <c r="H272" i="6" s="1"/>
  <c r="I219" i="1"/>
  <c r="H219" i="1"/>
  <c r="G219" i="1"/>
  <c r="D219" i="1"/>
  <c r="C219" i="1"/>
  <c r="E264" i="6"/>
  <c r="E277" i="6" s="1"/>
  <c r="I264" i="6"/>
  <c r="I277" i="6" s="1"/>
  <c r="E263" i="6"/>
  <c r="E276" i="6" s="1"/>
  <c r="I263" i="6"/>
  <c r="I276" i="6" s="1"/>
  <c r="F267" i="6"/>
  <c r="F280" i="6" s="1"/>
  <c r="C267" i="6"/>
  <c r="C280" i="6" s="1"/>
  <c r="C263" i="6"/>
  <c r="C276" i="6" s="1"/>
  <c r="D261" i="6"/>
  <c r="D274" i="6" s="1"/>
  <c r="E261" i="6"/>
  <c r="E274" i="6" s="1"/>
  <c r="F261" i="6"/>
  <c r="F274" i="6" s="1"/>
  <c r="G261" i="6"/>
  <c r="G274" i="6" s="1"/>
  <c r="H261" i="6"/>
  <c r="H274" i="6" s="1"/>
  <c r="I261" i="6"/>
  <c r="I274" i="6" s="1"/>
  <c r="C261" i="6"/>
  <c r="C274" i="6" s="1"/>
  <c r="F260" i="6"/>
  <c r="F273" i="6" s="1"/>
  <c r="C260" i="6"/>
  <c r="C273" i="6" s="1"/>
  <c r="D244" i="6"/>
  <c r="D257" i="6" s="1"/>
  <c r="D270" i="6" s="1"/>
  <c r="E244" i="6"/>
  <c r="E257" i="6" s="1"/>
  <c r="E270" i="6" s="1"/>
  <c r="F244" i="6"/>
  <c r="F257" i="6" s="1"/>
  <c r="F270" i="6" s="1"/>
  <c r="G244" i="6"/>
  <c r="G257" i="6" s="1"/>
  <c r="G270" i="6" s="1"/>
  <c r="H244" i="6"/>
  <c r="H257" i="6" s="1"/>
  <c r="H270" i="6" s="1"/>
  <c r="I244" i="6"/>
  <c r="I257" i="6" s="1"/>
  <c r="I270" i="6" s="1"/>
  <c r="C244" i="6"/>
  <c r="C257" i="6" s="1"/>
  <c r="C270" i="6" s="1"/>
  <c r="D258" i="6"/>
  <c r="D271" i="6" s="1"/>
  <c r="E258" i="6"/>
  <c r="E271" i="6" s="1"/>
  <c r="F258" i="6"/>
  <c r="F271" i="6" s="1"/>
  <c r="G258" i="6"/>
  <c r="G271" i="6" s="1"/>
  <c r="H258" i="6"/>
  <c r="H271" i="6" s="1"/>
  <c r="I258" i="6"/>
  <c r="I271" i="6" s="1"/>
  <c r="C258" i="6"/>
  <c r="C271" i="6" s="1"/>
  <c r="C30" i="6"/>
  <c r="C46" i="8"/>
  <c r="D46" i="8"/>
  <c r="E46" i="8"/>
  <c r="F46" i="8"/>
  <c r="G46" i="8"/>
  <c r="H46" i="8"/>
  <c r="B46" i="8"/>
  <c r="C32" i="8"/>
  <c r="D32" i="8"/>
  <c r="E32" i="8"/>
  <c r="F32" i="8"/>
  <c r="G32" i="8"/>
  <c r="H32" i="8"/>
  <c r="B32" i="8"/>
  <c r="F217" i="1"/>
  <c r="D221" i="1"/>
  <c r="C55" i="8" s="1"/>
  <c r="E221" i="1"/>
  <c r="D55" i="8" s="1"/>
  <c r="F221" i="1"/>
  <c r="E55" i="8" s="1"/>
  <c r="G221" i="1"/>
  <c r="F55" i="8" s="1"/>
  <c r="H221" i="1"/>
  <c r="G55" i="8" s="1"/>
  <c r="I221" i="1"/>
  <c r="H55" i="8" s="1"/>
  <c r="C221" i="1"/>
  <c r="B55" i="8" s="1"/>
  <c r="D220" i="1"/>
  <c r="E220" i="1"/>
  <c r="F220" i="1"/>
  <c r="G220" i="1"/>
  <c r="H220" i="1"/>
  <c r="I220" i="1"/>
  <c r="C220" i="1"/>
  <c r="E219" i="1"/>
  <c r="F219" i="1"/>
  <c r="D71" i="1"/>
  <c r="E71" i="1"/>
  <c r="F71" i="1"/>
  <c r="G71" i="1"/>
  <c r="H71" i="1"/>
  <c r="I71" i="1"/>
  <c r="C71" i="1"/>
  <c r="D30" i="1"/>
  <c r="E30" i="1"/>
  <c r="F30" i="1"/>
  <c r="G30" i="1"/>
  <c r="H30" i="1"/>
  <c r="I30" i="1"/>
  <c r="C30" i="1"/>
  <c r="D24" i="1"/>
  <c r="E24" i="1"/>
  <c r="D7" i="8" s="1"/>
  <c r="F24" i="1"/>
  <c r="G24" i="1"/>
  <c r="H24" i="1"/>
  <c r="I24" i="1"/>
  <c r="C24" i="1"/>
  <c r="D8" i="1"/>
  <c r="E8" i="1"/>
  <c r="F8" i="1"/>
  <c r="G8" i="1"/>
  <c r="H8" i="1"/>
  <c r="I8" i="1"/>
  <c r="H5" i="8" s="1"/>
  <c r="C8" i="1"/>
  <c r="D17" i="1"/>
  <c r="C6" i="8" s="1"/>
  <c r="E17" i="1"/>
  <c r="D6" i="8" s="1"/>
  <c r="F17" i="1"/>
  <c r="E6" i="8" s="1"/>
  <c r="G17" i="1"/>
  <c r="F6" i="8" s="1"/>
  <c r="H17" i="1"/>
  <c r="G6" i="8" s="1"/>
  <c r="I17" i="1"/>
  <c r="H6" i="8" s="1"/>
  <c r="C17" i="1"/>
  <c r="B6" i="8" s="1"/>
  <c r="J82" i="2"/>
  <c r="B43" i="2"/>
  <c r="B42" i="2"/>
  <c r="B41" i="2"/>
  <c r="B40" i="2"/>
  <c r="B39" i="2"/>
  <c r="I44" i="2"/>
  <c r="H44" i="2"/>
  <c r="D44" i="2"/>
  <c r="G44" i="2"/>
  <c r="C44" i="2"/>
  <c r="F44" i="2"/>
  <c r="E44" i="2"/>
  <c r="Q174" i="1"/>
  <c r="R174" i="1"/>
  <c r="S174" i="1"/>
  <c r="T174" i="1"/>
  <c r="V174" i="1"/>
  <c r="P174" i="1"/>
  <c r="U174" i="1"/>
  <c r="Q132" i="1"/>
  <c r="R132" i="1"/>
  <c r="S132" i="1"/>
  <c r="U132" i="1"/>
  <c r="V132" i="1"/>
  <c r="P132" i="1"/>
  <c r="T132" i="1"/>
  <c r="Q118" i="1"/>
  <c r="R118" i="1"/>
  <c r="S118" i="1"/>
  <c r="T118" i="1"/>
  <c r="U118" i="1"/>
  <c r="V118" i="1"/>
  <c r="P118" i="1"/>
  <c r="R70" i="1"/>
  <c r="S70" i="1"/>
  <c r="T70" i="1"/>
  <c r="U70" i="1"/>
  <c r="V70" i="1"/>
  <c r="Q70" i="1"/>
  <c r="P70" i="1"/>
  <c r="P28" i="1"/>
  <c r="Q28" i="1"/>
  <c r="R28" i="1"/>
  <c r="S28" i="1"/>
  <c r="T28" i="1"/>
  <c r="U28" i="1"/>
  <c r="V28" i="1"/>
  <c r="P29" i="1"/>
  <c r="Q29" i="1"/>
  <c r="R29" i="1"/>
  <c r="S29" i="1"/>
  <c r="T29" i="1"/>
  <c r="U29" i="1"/>
  <c r="V29" i="1"/>
  <c r="R27" i="1"/>
  <c r="S27" i="1"/>
  <c r="T27" i="1"/>
  <c r="U27" i="1"/>
  <c r="V27" i="1"/>
  <c r="Q27" i="1"/>
  <c r="P27" i="1"/>
  <c r="P168" i="1"/>
  <c r="Q168" i="1"/>
  <c r="R168" i="1"/>
  <c r="S168" i="1"/>
  <c r="T168" i="1"/>
  <c r="U168" i="1"/>
  <c r="V168" i="1"/>
  <c r="P169" i="1"/>
  <c r="Q169" i="1"/>
  <c r="R169" i="1"/>
  <c r="S169" i="1"/>
  <c r="T169" i="1"/>
  <c r="U169" i="1"/>
  <c r="V169" i="1"/>
  <c r="P170" i="1"/>
  <c r="Q170" i="1"/>
  <c r="R170" i="1"/>
  <c r="S170" i="1"/>
  <c r="T170" i="1"/>
  <c r="U170" i="1"/>
  <c r="V170" i="1"/>
  <c r="P171" i="1"/>
  <c r="Q171" i="1"/>
  <c r="R171" i="1"/>
  <c r="S171" i="1"/>
  <c r="T171" i="1"/>
  <c r="U171" i="1"/>
  <c r="V171" i="1"/>
  <c r="P172" i="1"/>
  <c r="V160" i="1"/>
  <c r="U160" i="1"/>
  <c r="T160" i="1"/>
  <c r="S160" i="1"/>
  <c r="R160" i="1"/>
  <c r="Q160" i="1"/>
  <c r="P160" i="1"/>
  <c r="V159" i="1"/>
  <c r="U159" i="1"/>
  <c r="T159" i="1"/>
  <c r="S159" i="1"/>
  <c r="R159" i="1"/>
  <c r="Q159" i="1"/>
  <c r="P159" i="1"/>
  <c r="V158" i="1"/>
  <c r="U158" i="1"/>
  <c r="T158" i="1"/>
  <c r="S158" i="1"/>
  <c r="R158" i="1"/>
  <c r="Q158" i="1"/>
  <c r="P158" i="1"/>
  <c r="V157" i="1"/>
  <c r="U157" i="1"/>
  <c r="T157" i="1"/>
  <c r="S157" i="1"/>
  <c r="R157" i="1"/>
  <c r="Q157" i="1"/>
  <c r="P157" i="1"/>
  <c r="V156" i="1"/>
  <c r="U156" i="1"/>
  <c r="T156" i="1"/>
  <c r="S156" i="1"/>
  <c r="R156" i="1"/>
  <c r="Q156" i="1"/>
  <c r="P156" i="1"/>
  <c r="V155" i="1"/>
  <c r="U155" i="1"/>
  <c r="T155" i="1"/>
  <c r="S155" i="1"/>
  <c r="R155" i="1"/>
  <c r="Q155" i="1"/>
  <c r="P155" i="1"/>
  <c r="V153" i="1"/>
  <c r="U153" i="1"/>
  <c r="T153" i="1"/>
  <c r="S153" i="1"/>
  <c r="R153" i="1"/>
  <c r="Q153" i="1"/>
  <c r="P153" i="1"/>
  <c r="V151" i="1"/>
  <c r="U151" i="1"/>
  <c r="T151" i="1"/>
  <c r="S151" i="1"/>
  <c r="R151" i="1"/>
  <c r="Q151" i="1"/>
  <c r="P151" i="1"/>
  <c r="V139" i="1"/>
  <c r="U139" i="1"/>
  <c r="T139" i="1"/>
  <c r="S139" i="1"/>
  <c r="R139" i="1"/>
  <c r="Q139" i="1"/>
  <c r="P139" i="1"/>
  <c r="V138" i="1"/>
  <c r="U138" i="1"/>
  <c r="T138" i="1"/>
  <c r="S138" i="1"/>
  <c r="R138" i="1"/>
  <c r="P133" i="1"/>
  <c r="V131" i="1"/>
  <c r="U131" i="1"/>
  <c r="T131" i="1"/>
  <c r="S131" i="1"/>
  <c r="R131" i="1"/>
  <c r="Q131" i="1"/>
  <c r="P131" i="1"/>
  <c r="V130" i="1"/>
  <c r="U130" i="1"/>
  <c r="T130" i="1"/>
  <c r="S130" i="1"/>
  <c r="R130" i="1"/>
  <c r="Q130" i="1"/>
  <c r="P130" i="1"/>
  <c r="V129" i="1"/>
  <c r="U129" i="1"/>
  <c r="T129" i="1"/>
  <c r="S129" i="1"/>
  <c r="R129" i="1"/>
  <c r="Q129" i="1"/>
  <c r="P129" i="1"/>
  <c r="V128" i="1"/>
  <c r="U128" i="1"/>
  <c r="T128" i="1"/>
  <c r="S128" i="1"/>
  <c r="R128" i="1"/>
  <c r="Q128" i="1"/>
  <c r="P128" i="1"/>
  <c r="V127" i="1"/>
  <c r="U127" i="1"/>
  <c r="T127" i="1"/>
  <c r="S127" i="1"/>
  <c r="R127" i="1"/>
  <c r="Q127" i="1"/>
  <c r="P127" i="1"/>
  <c r="V126" i="1"/>
  <c r="U126" i="1"/>
  <c r="T126" i="1"/>
  <c r="S126" i="1"/>
  <c r="R126" i="1"/>
  <c r="Q126" i="1"/>
  <c r="P126" i="1"/>
  <c r="V125" i="1"/>
  <c r="U125" i="1"/>
  <c r="T125" i="1"/>
  <c r="S125" i="1"/>
  <c r="R125" i="1"/>
  <c r="Q125" i="1"/>
  <c r="P125" i="1"/>
  <c r="V124" i="1"/>
  <c r="U124" i="1"/>
  <c r="T124" i="1"/>
  <c r="S124" i="1"/>
  <c r="R124" i="1"/>
  <c r="Q124" i="1"/>
  <c r="P124" i="1"/>
  <c r="V123" i="1"/>
  <c r="U123" i="1"/>
  <c r="T123" i="1"/>
  <c r="S123" i="1"/>
  <c r="R123" i="1"/>
  <c r="Q123" i="1"/>
  <c r="P123" i="1"/>
  <c r="V122" i="1"/>
  <c r="U122" i="1"/>
  <c r="T122" i="1"/>
  <c r="S122" i="1"/>
  <c r="R122" i="1"/>
  <c r="Q122" i="1"/>
  <c r="P122" i="1"/>
  <c r="V121" i="1"/>
  <c r="U121" i="1"/>
  <c r="T121" i="1"/>
  <c r="S121" i="1"/>
  <c r="R121" i="1"/>
  <c r="Q121" i="1"/>
  <c r="P121" i="1"/>
  <c r="V120" i="1"/>
  <c r="U120" i="1"/>
  <c r="T120" i="1"/>
  <c r="S120" i="1"/>
  <c r="R120" i="1"/>
  <c r="Q120" i="1"/>
  <c r="P120" i="1"/>
  <c r="V119" i="1"/>
  <c r="U119" i="1"/>
  <c r="T119" i="1"/>
  <c r="S119" i="1"/>
  <c r="R119" i="1"/>
  <c r="Q119" i="1"/>
  <c r="P119" i="1"/>
  <c r="V117" i="1"/>
  <c r="U117" i="1"/>
  <c r="T117" i="1"/>
  <c r="S117" i="1"/>
  <c r="R117" i="1"/>
  <c r="Q117" i="1"/>
  <c r="P117" i="1"/>
  <c r="V116" i="1"/>
  <c r="U116" i="1"/>
  <c r="T116" i="1"/>
  <c r="S116" i="1"/>
  <c r="R116" i="1"/>
  <c r="Q116" i="1"/>
  <c r="P116" i="1"/>
  <c r="V115" i="1"/>
  <c r="U115" i="1"/>
  <c r="T115" i="1"/>
  <c r="S115" i="1"/>
  <c r="R115" i="1"/>
  <c r="Q115" i="1"/>
  <c r="P115" i="1"/>
  <c r="V114" i="1"/>
  <c r="U114" i="1"/>
  <c r="T114" i="1"/>
  <c r="S114" i="1"/>
  <c r="R114" i="1"/>
  <c r="Q114" i="1"/>
  <c r="P114" i="1"/>
  <c r="V113" i="1"/>
  <c r="U113" i="1"/>
  <c r="T113" i="1"/>
  <c r="S113" i="1"/>
  <c r="R113" i="1"/>
  <c r="Q113" i="1"/>
  <c r="P113" i="1"/>
  <c r="V112" i="1"/>
  <c r="U112" i="1"/>
  <c r="T112" i="1"/>
  <c r="S112" i="1"/>
  <c r="R112" i="1"/>
  <c r="Q112" i="1"/>
  <c r="P112" i="1"/>
  <c r="P108" i="1"/>
  <c r="Q108" i="1"/>
  <c r="R108" i="1"/>
  <c r="S108" i="1"/>
  <c r="T108" i="1"/>
  <c r="U108" i="1"/>
  <c r="V108" i="1"/>
  <c r="P109" i="1"/>
  <c r="Q109" i="1"/>
  <c r="R109" i="1"/>
  <c r="S109" i="1"/>
  <c r="T109" i="1"/>
  <c r="U109" i="1"/>
  <c r="V109" i="1"/>
  <c r="P110" i="1"/>
  <c r="Q110" i="1"/>
  <c r="R110" i="1"/>
  <c r="S110" i="1"/>
  <c r="T110" i="1"/>
  <c r="U110" i="1"/>
  <c r="V110" i="1"/>
  <c r="Q107" i="1"/>
  <c r="R107" i="1"/>
  <c r="S107" i="1"/>
  <c r="T107" i="1"/>
  <c r="U107" i="1"/>
  <c r="V107" i="1"/>
  <c r="P107" i="1"/>
  <c r="V176" i="1"/>
  <c r="V175" i="1" s="1"/>
  <c r="U176" i="1"/>
  <c r="U175" i="1" s="1"/>
  <c r="T176" i="1"/>
  <c r="T175" i="1" s="1"/>
  <c r="S176" i="1"/>
  <c r="S175" i="1" s="1"/>
  <c r="R176" i="1"/>
  <c r="R175" i="1" s="1"/>
  <c r="Q176" i="1"/>
  <c r="Q175" i="1" s="1"/>
  <c r="P176" i="1"/>
  <c r="P175" i="1" s="1"/>
  <c r="Q187" i="1"/>
  <c r="R187" i="1"/>
  <c r="S187" i="1"/>
  <c r="T187" i="1"/>
  <c r="U187" i="1"/>
  <c r="V187" i="1"/>
  <c r="Q189" i="1"/>
  <c r="R189" i="1"/>
  <c r="S189" i="1"/>
  <c r="T189" i="1"/>
  <c r="U189" i="1"/>
  <c r="V189" i="1"/>
  <c r="Q191" i="1"/>
  <c r="R191" i="1"/>
  <c r="S191" i="1"/>
  <c r="T191" i="1"/>
  <c r="U191" i="1"/>
  <c r="V191" i="1"/>
  <c r="Q193" i="1"/>
  <c r="R193" i="1"/>
  <c r="S193" i="1"/>
  <c r="T193" i="1"/>
  <c r="U193" i="1"/>
  <c r="V193" i="1"/>
  <c r="Q195" i="1"/>
  <c r="R195" i="1"/>
  <c r="S195" i="1"/>
  <c r="T195" i="1"/>
  <c r="U195" i="1"/>
  <c r="V195" i="1"/>
  <c r="Q199" i="1"/>
  <c r="R199" i="1"/>
  <c r="S199" i="1"/>
  <c r="T199" i="1"/>
  <c r="U199" i="1"/>
  <c r="V199" i="1"/>
  <c r="P199" i="1"/>
  <c r="P195" i="1"/>
  <c r="P193" i="1"/>
  <c r="P191" i="1"/>
  <c r="P189" i="1"/>
  <c r="P187" i="1"/>
  <c r="V95" i="1"/>
  <c r="U95" i="1"/>
  <c r="T95" i="1"/>
  <c r="T103" i="1" s="1"/>
  <c r="F25" i="8" s="1"/>
  <c r="S95" i="1"/>
  <c r="R95" i="1"/>
  <c r="Q95" i="1"/>
  <c r="P95" i="1"/>
  <c r="P103" i="1" s="1"/>
  <c r="B25" i="8" s="1"/>
  <c r="V96" i="1"/>
  <c r="U96" i="1"/>
  <c r="T96" i="1"/>
  <c r="S96" i="1"/>
  <c r="R96" i="1"/>
  <c r="Q96" i="1"/>
  <c r="P96" i="1"/>
  <c r="T63" i="1"/>
  <c r="F23" i="8" s="1"/>
  <c r="V63" i="1"/>
  <c r="H23" i="8" s="1"/>
  <c r="U63" i="1"/>
  <c r="G23" i="8" s="1"/>
  <c r="S63" i="1"/>
  <c r="E23" i="8" s="1"/>
  <c r="R63" i="1"/>
  <c r="D23" i="8" s="1"/>
  <c r="Q63" i="1"/>
  <c r="C23" i="8" s="1"/>
  <c r="P63" i="1"/>
  <c r="B23" i="8" s="1"/>
  <c r="Q138" i="1"/>
  <c r="P138" i="1"/>
  <c r="D70" i="2"/>
  <c r="E70" i="2"/>
  <c r="F70" i="2"/>
  <c r="G70" i="2"/>
  <c r="H70" i="2"/>
  <c r="I70" i="2"/>
  <c r="C70" i="2"/>
  <c r="D85" i="2"/>
  <c r="C9" i="3"/>
  <c r="D7" i="4" s="1"/>
  <c r="E85" i="2"/>
  <c r="D9" i="3"/>
  <c r="F85" i="2"/>
  <c r="E9" i="3"/>
  <c r="F7" i="4" s="1"/>
  <c r="G85" i="2"/>
  <c r="F9" i="3"/>
  <c r="G7" i="4" s="1"/>
  <c r="H85" i="2"/>
  <c r="G9" i="3"/>
  <c r="H7" i="4" s="1"/>
  <c r="I85" i="2"/>
  <c r="H9" i="3"/>
  <c r="I7" i="4" s="1"/>
  <c r="C85" i="2"/>
  <c r="B9" i="3"/>
  <c r="C7" i="4" s="1"/>
  <c r="C15" i="4" s="1"/>
  <c r="Q213" i="1"/>
  <c r="R213" i="1"/>
  <c r="S213" i="1"/>
  <c r="T213" i="1"/>
  <c r="U213" i="1"/>
  <c r="V213" i="1"/>
  <c r="Q214" i="1"/>
  <c r="R214" i="1"/>
  <c r="S214" i="1"/>
  <c r="T214" i="1"/>
  <c r="U214" i="1"/>
  <c r="V214" i="1"/>
  <c r="Q221" i="1"/>
  <c r="R221" i="1"/>
  <c r="S221" i="1"/>
  <c r="T221" i="1"/>
  <c r="U221" i="1"/>
  <c r="V221" i="1"/>
  <c r="P221" i="1"/>
  <c r="P214" i="1"/>
  <c r="P213" i="1"/>
  <c r="Q66" i="1"/>
  <c r="R66" i="1"/>
  <c r="S66" i="1"/>
  <c r="T66" i="1"/>
  <c r="U66" i="1"/>
  <c r="V66" i="1"/>
  <c r="Q67" i="1"/>
  <c r="R67" i="1"/>
  <c r="S67" i="1"/>
  <c r="T67" i="1"/>
  <c r="U67" i="1"/>
  <c r="V67" i="1"/>
  <c r="Q68" i="1"/>
  <c r="R68" i="1"/>
  <c r="S68" i="1"/>
  <c r="T68" i="1"/>
  <c r="U68" i="1"/>
  <c r="V68" i="1"/>
  <c r="Q69" i="1"/>
  <c r="R69" i="1"/>
  <c r="S69" i="1"/>
  <c r="T69" i="1"/>
  <c r="U69" i="1"/>
  <c r="V69" i="1"/>
  <c r="P69" i="1"/>
  <c r="P68" i="1"/>
  <c r="P67" i="1"/>
  <c r="P66" i="1"/>
  <c r="Q23" i="1"/>
  <c r="R23" i="1"/>
  <c r="S23" i="1"/>
  <c r="T23" i="1"/>
  <c r="U23" i="1"/>
  <c r="V23" i="1"/>
  <c r="V24" i="1" s="1"/>
  <c r="P23" i="1"/>
  <c r="I259" i="6"/>
  <c r="I272" i="6" s="1"/>
  <c r="E7" i="4" l="1"/>
  <c r="D35" i="7"/>
  <c r="E35" i="7"/>
  <c r="C35" i="7"/>
  <c r="G35" i="7"/>
  <c r="H35" i="7"/>
  <c r="I35" i="7"/>
  <c r="C210" i="6"/>
  <c r="I266" i="6"/>
  <c r="I279" i="6" s="1"/>
  <c r="G267" i="6"/>
  <c r="H267" i="6"/>
  <c r="H280" i="6" s="1"/>
  <c r="D267" i="6"/>
  <c r="D280" i="6" s="1"/>
  <c r="D264" i="6"/>
  <c r="D277" i="6" s="1"/>
  <c r="C264" i="6"/>
  <c r="C277" i="6" s="1"/>
  <c r="K220" i="6"/>
  <c r="I265" i="6"/>
  <c r="I278" i="6" s="1"/>
  <c r="E259" i="6"/>
  <c r="E272" i="6" s="1"/>
  <c r="F266" i="6"/>
  <c r="F279" i="6" s="1"/>
  <c r="H264" i="6"/>
  <c r="H277" i="6" s="1"/>
  <c r="E266" i="6"/>
  <c r="E279" i="6" s="1"/>
  <c r="H265" i="6"/>
  <c r="H278" i="6" s="1"/>
  <c r="D265" i="6"/>
  <c r="D278" i="6" s="1"/>
  <c r="F265" i="6"/>
  <c r="F278" i="6" s="1"/>
  <c r="D260" i="6"/>
  <c r="D273" i="6" s="1"/>
  <c r="F264" i="6"/>
  <c r="F277" i="6" s="1"/>
  <c r="G259" i="6"/>
  <c r="G272" i="6" s="1"/>
  <c r="I262" i="6"/>
  <c r="I275" i="6" s="1"/>
  <c r="G266" i="6"/>
  <c r="G279" i="6" s="1"/>
  <c r="I260" i="6"/>
  <c r="I273" i="6" s="1"/>
  <c r="C265" i="6"/>
  <c r="C278" i="6" s="1"/>
  <c r="H266" i="6"/>
  <c r="H279" i="6" s="1"/>
  <c r="K215" i="6"/>
  <c r="L220" i="6"/>
  <c r="H260" i="6"/>
  <c r="H273" i="6" s="1"/>
  <c r="C259" i="6"/>
  <c r="C272" i="6" s="1"/>
  <c r="C266" i="6"/>
  <c r="C279" i="6" s="1"/>
  <c r="E260" i="6"/>
  <c r="I267" i="6"/>
  <c r="I280" i="6" s="1"/>
  <c r="K223" i="6"/>
  <c r="L223" i="6"/>
  <c r="L222" i="6"/>
  <c r="K222" i="6"/>
  <c r="D266" i="6"/>
  <c r="D279" i="6" s="1"/>
  <c r="F263" i="6"/>
  <c r="G264" i="6"/>
  <c r="G277" i="6" s="1"/>
  <c r="I255" i="6"/>
  <c r="G263" i="6"/>
  <c r="G276" i="6" s="1"/>
  <c r="K216" i="6"/>
  <c r="L216" i="6"/>
  <c r="C262" i="6"/>
  <c r="C275" i="6" s="1"/>
  <c r="C255" i="6"/>
  <c r="K219" i="6"/>
  <c r="L219" i="6"/>
  <c r="K221" i="6"/>
  <c r="L221" i="6"/>
  <c r="E262" i="6"/>
  <c r="E275" i="6" s="1"/>
  <c r="E255" i="6"/>
  <c r="L217" i="6"/>
  <c r="K217" i="6"/>
  <c r="F255" i="6"/>
  <c r="F262" i="6"/>
  <c r="F275" i="6" s="1"/>
  <c r="I242" i="6"/>
  <c r="F276" i="6"/>
  <c r="G280" i="6"/>
  <c r="L215" i="6"/>
  <c r="G260" i="6"/>
  <c r="G273" i="6" s="1"/>
  <c r="E267" i="6"/>
  <c r="E280" i="6" s="1"/>
  <c r="G265" i="6"/>
  <c r="G278" i="6" s="1"/>
  <c r="E265" i="6"/>
  <c r="H263" i="6"/>
  <c r="H276" i="6" s="1"/>
  <c r="D263" i="6"/>
  <c r="D276" i="6" s="1"/>
  <c r="H255" i="6"/>
  <c r="D255" i="6"/>
  <c r="D242" i="6"/>
  <c r="L214" i="6"/>
  <c r="F259" i="6"/>
  <c r="K214" i="6"/>
  <c r="E273" i="6"/>
  <c r="S103" i="1"/>
  <c r="E25" i="8" s="1"/>
  <c r="R103" i="1"/>
  <c r="D25" i="8" s="1"/>
  <c r="V103" i="1"/>
  <c r="H25" i="8" s="1"/>
  <c r="C213" i="1"/>
  <c r="B5" i="8"/>
  <c r="B47" i="8" s="1"/>
  <c r="F213" i="1"/>
  <c r="E5" i="8"/>
  <c r="I215" i="1"/>
  <c r="H7" i="8"/>
  <c r="H216" i="1"/>
  <c r="G8" i="8"/>
  <c r="D216" i="1"/>
  <c r="C8" i="8"/>
  <c r="C50" i="8" s="1"/>
  <c r="G218" i="1"/>
  <c r="F10" i="8"/>
  <c r="C222" i="1"/>
  <c r="B14" i="8"/>
  <c r="B56" i="8" s="1"/>
  <c r="F222" i="1"/>
  <c r="E14" i="8"/>
  <c r="H215" i="1"/>
  <c r="G7" i="8"/>
  <c r="G216" i="1"/>
  <c r="F8" i="8"/>
  <c r="C218" i="1"/>
  <c r="B10" i="8"/>
  <c r="B52" i="8" s="1"/>
  <c r="E222" i="1"/>
  <c r="D14" i="8"/>
  <c r="H213" i="1"/>
  <c r="G5" i="8"/>
  <c r="D213" i="1"/>
  <c r="C5" i="8"/>
  <c r="G215" i="1"/>
  <c r="F7" i="8"/>
  <c r="C216" i="1"/>
  <c r="B8" i="8"/>
  <c r="F216" i="1"/>
  <c r="E8" i="8"/>
  <c r="I218" i="1"/>
  <c r="H10" i="8"/>
  <c r="E218" i="1"/>
  <c r="D10" i="8"/>
  <c r="H222" i="1"/>
  <c r="G14" i="8"/>
  <c r="D222" i="1"/>
  <c r="C14" i="8"/>
  <c r="C56" i="8" s="1"/>
  <c r="E213" i="1"/>
  <c r="D5" i="8"/>
  <c r="D215" i="1"/>
  <c r="C7" i="8"/>
  <c r="F218" i="1"/>
  <c r="E10" i="8"/>
  <c r="I222" i="1"/>
  <c r="K222" i="1" s="1"/>
  <c r="H14" i="8"/>
  <c r="H56" i="8" s="1"/>
  <c r="V215" i="1"/>
  <c r="H21" i="8"/>
  <c r="Q103" i="1"/>
  <c r="C25" i="8" s="1"/>
  <c r="U103" i="1"/>
  <c r="G25" i="8" s="1"/>
  <c r="G213" i="1"/>
  <c r="F5" i="8"/>
  <c r="C215" i="1"/>
  <c r="B7" i="8"/>
  <c r="B49" i="8" s="1"/>
  <c r="F215" i="1"/>
  <c r="E7" i="8"/>
  <c r="I216" i="1"/>
  <c r="H8" i="8"/>
  <c r="H50" i="8" s="1"/>
  <c r="E216" i="1"/>
  <c r="D8" i="8"/>
  <c r="H218" i="1"/>
  <c r="G10" i="8"/>
  <c r="D218" i="1"/>
  <c r="C10" i="8"/>
  <c r="G222" i="1"/>
  <c r="F14" i="8"/>
  <c r="F56" i="8" s="1"/>
  <c r="I217" i="1"/>
  <c r="H9" i="8"/>
  <c r="H51" i="8" s="1"/>
  <c r="E217" i="1"/>
  <c r="D9" i="8"/>
  <c r="D51" i="8" s="1"/>
  <c r="D217" i="1"/>
  <c r="C9" i="8"/>
  <c r="C217" i="1"/>
  <c r="B9" i="8"/>
  <c r="G214" i="1"/>
  <c r="F48" i="8" s="1"/>
  <c r="G209" i="1"/>
  <c r="G4" i="4" s="1"/>
  <c r="G13" i="4" s="1"/>
  <c r="C214" i="1"/>
  <c r="C209" i="1"/>
  <c r="C4" i="4" s="1"/>
  <c r="C13" i="4" s="1"/>
  <c r="F214" i="1"/>
  <c r="E48" i="8" s="1"/>
  <c r="F209" i="1"/>
  <c r="F4" i="4" s="1"/>
  <c r="F13" i="4" s="1"/>
  <c r="I214" i="1"/>
  <c r="K214" i="1" s="1"/>
  <c r="I209" i="1"/>
  <c r="I4" i="4" s="1"/>
  <c r="E214" i="1"/>
  <c r="D48" i="8" s="1"/>
  <c r="E209" i="1"/>
  <c r="E4" i="4" s="1"/>
  <c r="E13" i="4" s="1"/>
  <c r="H214" i="1"/>
  <c r="G48" i="8" s="1"/>
  <c r="H209" i="1"/>
  <c r="H4" i="4" s="1"/>
  <c r="H13" i="4" s="1"/>
  <c r="D214" i="1"/>
  <c r="C48" i="8" s="1"/>
  <c r="D209" i="1"/>
  <c r="D4" i="4" s="1"/>
  <c r="D13" i="4" s="1"/>
  <c r="V217" i="1"/>
  <c r="U217" i="1"/>
  <c r="T217" i="1"/>
  <c r="S217" i="1"/>
  <c r="R217" i="1"/>
  <c r="Q217" i="1"/>
  <c r="P217" i="1"/>
  <c r="U165" i="1"/>
  <c r="H72" i="2"/>
  <c r="D72" i="2"/>
  <c r="S165" i="1"/>
  <c r="V165" i="1"/>
  <c r="R165" i="1"/>
  <c r="Q165" i="1"/>
  <c r="T165" i="1"/>
  <c r="P165" i="1"/>
  <c r="H53" i="8"/>
  <c r="K219" i="1"/>
  <c r="P150" i="1"/>
  <c r="T150" i="1"/>
  <c r="Q150" i="1"/>
  <c r="U150" i="1"/>
  <c r="R150" i="1"/>
  <c r="V150" i="1"/>
  <c r="S150" i="1"/>
  <c r="P111" i="1"/>
  <c r="T207" i="1"/>
  <c r="S207" i="1"/>
  <c r="T111" i="1"/>
  <c r="Q111" i="1"/>
  <c r="U111" i="1"/>
  <c r="C53" i="8"/>
  <c r="R111" i="1"/>
  <c r="V111" i="1"/>
  <c r="S111" i="1"/>
  <c r="R24" i="1"/>
  <c r="U24" i="1"/>
  <c r="Q24" i="1"/>
  <c r="E53" i="8"/>
  <c r="T106" i="1"/>
  <c r="C72" i="2"/>
  <c r="G72" i="2"/>
  <c r="E72" i="2"/>
  <c r="Q207" i="1"/>
  <c r="P24" i="1"/>
  <c r="E50" i="8"/>
  <c r="F53" i="8"/>
  <c r="D56" i="8"/>
  <c r="B53" i="8"/>
  <c r="D50" i="8"/>
  <c r="G56" i="8"/>
  <c r="F72" i="2"/>
  <c r="G50" i="8"/>
  <c r="I72" i="2"/>
  <c r="F50" i="8"/>
  <c r="G53" i="8"/>
  <c r="D53" i="8"/>
  <c r="E56" i="8"/>
  <c r="H48" i="8"/>
  <c r="L220" i="1"/>
  <c r="E215" i="1"/>
  <c r="D49" i="8" s="1"/>
  <c r="P207" i="1"/>
  <c r="V207" i="1"/>
  <c r="R207" i="1"/>
  <c r="U106" i="1"/>
  <c r="S24" i="1"/>
  <c r="U207" i="1"/>
  <c r="U219" i="1"/>
  <c r="R106" i="1"/>
  <c r="V30" i="1"/>
  <c r="V216" i="1" s="1"/>
  <c r="R30" i="1"/>
  <c r="R216" i="1" s="1"/>
  <c r="D22" i="8" s="1"/>
  <c r="B48" i="8"/>
  <c r="T24" i="1"/>
  <c r="K220" i="1"/>
  <c r="P71" i="1"/>
  <c r="I213" i="1"/>
  <c r="H47" i="8" s="1"/>
  <c r="V219" i="1"/>
  <c r="V106" i="1"/>
  <c r="L221" i="1"/>
  <c r="Q71" i="1"/>
  <c r="L219" i="1"/>
  <c r="K221" i="1"/>
  <c r="S219" i="1"/>
  <c r="P219" i="1"/>
  <c r="T219" i="1"/>
  <c r="P106" i="1"/>
  <c r="S106" i="1"/>
  <c r="Q106" i="1"/>
  <c r="Q30" i="1"/>
  <c r="Q216" i="1" s="1"/>
  <c r="C22" i="8" s="1"/>
  <c r="U71" i="1"/>
  <c r="S71" i="1"/>
  <c r="V71" i="1"/>
  <c r="T71" i="1"/>
  <c r="R71" i="1"/>
  <c r="D24" i="8" s="1"/>
  <c r="U30" i="1"/>
  <c r="T30" i="1"/>
  <c r="T216" i="1" s="1"/>
  <c r="P30" i="1"/>
  <c r="P216" i="1" s="1"/>
  <c r="S30" i="1"/>
  <c r="S216" i="1" s="1"/>
  <c r="B50" i="8"/>
  <c r="F35" i="7"/>
  <c r="D15" i="4"/>
  <c r="H15" i="4"/>
  <c r="G15" i="4"/>
  <c r="F15" i="4"/>
  <c r="H217" i="1"/>
  <c r="G217" i="1"/>
  <c r="E51" i="8"/>
  <c r="R219" i="1" l="1"/>
  <c r="K216" i="1"/>
  <c r="K218" i="1"/>
  <c r="L217" i="1"/>
  <c r="G52" i="8"/>
  <c r="C49" i="8"/>
  <c r="D52" i="8"/>
  <c r="F49" i="8"/>
  <c r="G47" i="8"/>
  <c r="G49" i="8"/>
  <c r="H49" i="8"/>
  <c r="E15" i="4"/>
  <c r="F223" i="1"/>
  <c r="F242" i="6"/>
  <c r="C242" i="6"/>
  <c r="I268" i="6"/>
  <c r="I281" i="6" s="1"/>
  <c r="E242" i="6"/>
  <c r="C268" i="6"/>
  <c r="F268" i="6"/>
  <c r="E268" i="6"/>
  <c r="H242" i="6"/>
  <c r="G242" i="6"/>
  <c r="G262" i="6"/>
  <c r="G275" i="6" s="1"/>
  <c r="G255" i="6"/>
  <c r="F272" i="6"/>
  <c r="E278" i="6"/>
  <c r="H262" i="6"/>
  <c r="D262" i="6"/>
  <c r="E40" i="8"/>
  <c r="E54" i="8" s="1"/>
  <c r="F6" i="4"/>
  <c r="G40" i="8"/>
  <c r="D40" i="8"/>
  <c r="D54" i="8" s="1"/>
  <c r="H40" i="8"/>
  <c r="I6" i="4"/>
  <c r="F40" i="8"/>
  <c r="C40" i="8"/>
  <c r="B40" i="8"/>
  <c r="C87" i="2"/>
  <c r="C6" i="4" s="1"/>
  <c r="C52" i="8"/>
  <c r="E49" i="8"/>
  <c r="F47" i="8"/>
  <c r="E52" i="8"/>
  <c r="D47" i="8"/>
  <c r="H52" i="8"/>
  <c r="C47" i="8"/>
  <c r="F52" i="8"/>
  <c r="L214" i="1"/>
  <c r="E47" i="8"/>
  <c r="U218" i="1"/>
  <c r="G24" i="8"/>
  <c r="P218" i="1"/>
  <c r="B24" i="8"/>
  <c r="S215" i="1"/>
  <c r="E21" i="8"/>
  <c r="R215" i="1"/>
  <c r="D21" i="8"/>
  <c r="C223" i="1"/>
  <c r="L218" i="1"/>
  <c r="K215" i="1"/>
  <c r="T215" i="1"/>
  <c r="F21" i="8"/>
  <c r="U222" i="1"/>
  <c r="G28" i="8"/>
  <c r="L215" i="1"/>
  <c r="S218" i="1"/>
  <c r="E24" i="8"/>
  <c r="Q218" i="1"/>
  <c r="C24" i="8"/>
  <c r="Q219" i="1"/>
  <c r="V222" i="1"/>
  <c r="H28" i="8"/>
  <c r="P215" i="1"/>
  <c r="B21" i="8"/>
  <c r="U215" i="1"/>
  <c r="G21" i="8"/>
  <c r="S222" i="1"/>
  <c r="E28" i="8"/>
  <c r="L216" i="1"/>
  <c r="T218" i="1"/>
  <c r="F24" i="8"/>
  <c r="L222" i="1"/>
  <c r="T222" i="1"/>
  <c r="F28" i="8"/>
  <c r="P222" i="1"/>
  <c r="B28" i="8"/>
  <c r="Q222" i="1"/>
  <c r="C28" i="8"/>
  <c r="V218" i="1"/>
  <c r="H24" i="8"/>
  <c r="R222" i="1"/>
  <c r="D28" i="8"/>
  <c r="Q215" i="1"/>
  <c r="C21" i="8"/>
  <c r="K217" i="1"/>
  <c r="D223" i="1"/>
  <c r="E15" i="8"/>
  <c r="H6" i="4"/>
  <c r="H8" i="4" s="1"/>
  <c r="G54" i="8"/>
  <c r="C54" i="8"/>
  <c r="D6" i="4"/>
  <c r="D8" i="4" s="1"/>
  <c r="G6" i="4"/>
  <c r="G14" i="4" s="1"/>
  <c r="F43" i="8"/>
  <c r="E6" i="4"/>
  <c r="E8" i="4" s="1"/>
  <c r="E16" i="4" s="1"/>
  <c r="H54" i="8"/>
  <c r="B54" i="8"/>
  <c r="Q177" i="1"/>
  <c r="Q209" i="1" s="1"/>
  <c r="P177" i="1"/>
  <c r="R177" i="1"/>
  <c r="T177" i="1"/>
  <c r="T209" i="1" s="1"/>
  <c r="V177" i="1"/>
  <c r="V209" i="1" s="1"/>
  <c r="S177" i="1"/>
  <c r="U177" i="1"/>
  <c r="E223" i="1"/>
  <c r="D15" i="8"/>
  <c r="K213" i="1"/>
  <c r="L213" i="1"/>
  <c r="I223" i="1"/>
  <c r="U216" i="1"/>
  <c r="G22" i="8" s="1"/>
  <c r="R218" i="1"/>
  <c r="H15" i="8"/>
  <c r="E22" i="8"/>
  <c r="H22" i="8"/>
  <c r="F22" i="8"/>
  <c r="B22" i="8"/>
  <c r="H43" i="8"/>
  <c r="G43" i="8"/>
  <c r="C43" i="8"/>
  <c r="D43" i="8"/>
  <c r="E43" i="8"/>
  <c r="B43" i="8"/>
  <c r="I13" i="4"/>
  <c r="I15" i="4"/>
  <c r="H223" i="1"/>
  <c r="G223" i="1"/>
  <c r="C15" i="8"/>
  <c r="C51" i="8"/>
  <c r="B51" i="8"/>
  <c r="B15" i="8"/>
  <c r="H57" i="8" l="1"/>
  <c r="C57" i="8"/>
  <c r="H16" i="4"/>
  <c r="D16" i="4"/>
  <c r="D57" i="8"/>
  <c r="E57" i="8"/>
  <c r="F281" i="6"/>
  <c r="C281" i="6"/>
  <c r="E281" i="6"/>
  <c r="G268" i="6"/>
  <c r="G281" i="6" s="1"/>
  <c r="K218" i="6"/>
  <c r="L218" i="6"/>
  <c r="D268" i="6"/>
  <c r="D281" i="6" s="1"/>
  <c r="D275" i="6"/>
  <c r="H268" i="6"/>
  <c r="H281" i="6" s="1"/>
  <c r="H275" i="6"/>
  <c r="I14" i="4"/>
  <c r="I8" i="4"/>
  <c r="I16" i="4" s="1"/>
  <c r="F14" i="4"/>
  <c r="F8" i="4"/>
  <c r="C8" i="4"/>
  <c r="C16" i="4" s="1"/>
  <c r="C14" i="4"/>
  <c r="L223" i="1"/>
  <c r="U220" i="1"/>
  <c r="G26" i="8"/>
  <c r="G29" i="8" s="1"/>
  <c r="R220" i="1"/>
  <c r="D26" i="8"/>
  <c r="U209" i="1"/>
  <c r="H5" i="4" s="1"/>
  <c r="H9" i="4" s="1"/>
  <c r="H17" i="4" s="1"/>
  <c r="P220" i="1"/>
  <c r="B26" i="8"/>
  <c r="I5" i="4"/>
  <c r="I9" i="4" s="1"/>
  <c r="H26" i="8"/>
  <c r="Q220" i="1"/>
  <c r="C26" i="8"/>
  <c r="C29" i="8" s="1"/>
  <c r="S220" i="1"/>
  <c r="E26" i="8"/>
  <c r="E29" i="8" s="1"/>
  <c r="T220" i="1"/>
  <c r="T223" i="1" s="1"/>
  <c r="F26" i="8"/>
  <c r="F29" i="8" s="1"/>
  <c r="S209" i="1"/>
  <c r="F5" i="4" s="1"/>
  <c r="F9" i="4" s="1"/>
  <c r="F17" i="4" s="1"/>
  <c r="R209" i="1"/>
  <c r="E5" i="4" s="1"/>
  <c r="E9" i="4" s="1"/>
  <c r="E17" i="4" s="1"/>
  <c r="P209" i="1"/>
  <c r="C5" i="4" s="1"/>
  <c r="C9" i="4" s="1"/>
  <c r="C17" i="4" s="1"/>
  <c r="H14" i="4"/>
  <c r="G8" i="4"/>
  <c r="D14" i="4"/>
  <c r="F54" i="8"/>
  <c r="E14" i="4"/>
  <c r="V220" i="1"/>
  <c r="G5" i="4"/>
  <c r="G9" i="4" s="1"/>
  <c r="G17" i="4" s="1"/>
  <c r="U223" i="1"/>
  <c r="B29" i="8"/>
  <c r="S223" i="1"/>
  <c r="P223" i="1"/>
  <c r="D5" i="4"/>
  <c r="D9" i="4" s="1"/>
  <c r="D17" i="4" s="1"/>
  <c r="K223" i="1"/>
  <c r="Q223" i="1"/>
  <c r="B57" i="8"/>
  <c r="D29" i="8"/>
  <c r="R223" i="1"/>
  <c r="G15" i="8"/>
  <c r="G51" i="8"/>
  <c r="G57" i="8" s="1"/>
  <c r="F51" i="8"/>
  <c r="F15" i="8"/>
  <c r="G16" i="4" l="1"/>
  <c r="F16" i="4"/>
  <c r="L224" i="6"/>
  <c r="K224" i="6"/>
  <c r="I10" i="4"/>
  <c r="I17" i="4"/>
  <c r="H29" i="8"/>
  <c r="F57" i="8"/>
  <c r="V223" i="1"/>
  <c r="H10" i="4"/>
  <c r="G10" i="4"/>
  <c r="E10" i="4"/>
  <c r="C10" i="4"/>
  <c r="F10" i="4"/>
  <c r="D10" i="4"/>
</calcChain>
</file>

<file path=xl/comments1.xml><?xml version="1.0" encoding="utf-8"?>
<comments xmlns="http://schemas.openxmlformats.org/spreadsheetml/2006/main">
  <authors>
    <author>Alexandra Vennekens</author>
  </authors>
  <commentList>
    <comment ref="B26" authorId="0">
      <text>
        <r>
          <rPr>
            <b/>
            <sz val="9"/>
            <color indexed="81"/>
            <rFont val="Tahoma"/>
            <family val="2"/>
          </rPr>
          <t>Alexandra Vennekens:</t>
        </r>
        <r>
          <rPr>
            <sz val="9"/>
            <color indexed="81"/>
            <rFont val="Tahoma"/>
            <family val="2"/>
          </rPr>
          <t xml:space="preserve">
T.o.v. vorig jaar is het bedrag afgenomen omdat door de reorganisatie en daaruit volgende conversie van budgetten oude algemene onderzoeksbudgetten niet meer herleidbaar zijn.
Daarnaast gaat BZK over naar een nieuw boekhoudsysteem.
BZK schat in meer uit te geven aan innovatie dan ze nu vermelden. BZK is bezig  met uitwerken van innovatieve maatregelen op het gebied van elektronische ID. Bij de overgang naar SAP per 1 januari komt er wellicht meer zicht op deze budgetten.
</t>
        </r>
      </text>
    </comment>
    <comment ref="P39" authorId="0">
      <text>
        <r>
          <rPr>
            <b/>
            <sz val="9"/>
            <color indexed="81"/>
            <rFont val="Tahoma"/>
            <family val="2"/>
          </rPr>
          <t>Alexandra Vennekens:</t>
        </r>
        <r>
          <rPr>
            <sz val="9"/>
            <color indexed="81"/>
            <rFont val="Tahoma"/>
            <family val="2"/>
          </rPr>
          <t xml:space="preserve">
Topsectoren. Kennis en innovatiecontract</t>
        </r>
      </text>
    </comment>
    <comment ref="P40" authorId="0">
      <text>
        <r>
          <rPr>
            <b/>
            <sz val="9"/>
            <color indexed="81"/>
            <rFont val="Tahoma"/>
            <family val="2"/>
          </rPr>
          <t>Alexandra Vennekens:</t>
        </r>
        <r>
          <rPr>
            <sz val="9"/>
            <color indexed="81"/>
            <rFont val="Tahoma"/>
            <family val="2"/>
          </rPr>
          <t xml:space="preserve">
Topsectoren, zie voor 2015 JV &amp; website NWO Topsectoren</t>
        </r>
      </text>
    </comment>
    <comment ref="I59" authorId="0">
      <text>
        <r>
          <rPr>
            <b/>
            <sz val="9"/>
            <color indexed="81"/>
            <rFont val="Tahoma"/>
            <family val="2"/>
          </rPr>
          <t>Alexandra Vennekens:</t>
        </r>
        <r>
          <rPr>
            <sz val="9"/>
            <color indexed="81"/>
            <rFont val="Tahoma"/>
            <family val="2"/>
          </rPr>
          <t xml:space="preserve">
Nog niet bekend</t>
        </r>
      </text>
    </comment>
    <comment ref="I60" authorId="0">
      <text>
        <r>
          <rPr>
            <b/>
            <sz val="9"/>
            <color indexed="81"/>
            <rFont val="Tahoma"/>
            <family val="2"/>
          </rPr>
          <t>Alexandra Vennekens:</t>
        </r>
        <r>
          <rPr>
            <sz val="9"/>
            <color indexed="81"/>
            <rFont val="Tahoma"/>
            <family val="2"/>
          </rPr>
          <t xml:space="preserve">
Totaalbedrag nog niet bekend</t>
        </r>
      </text>
    </comment>
    <comment ref="I62" authorId="0">
      <text>
        <r>
          <rPr>
            <b/>
            <sz val="9"/>
            <color indexed="81"/>
            <rFont val="Tahoma"/>
            <family val="2"/>
          </rPr>
          <t>Alexandra Vennekens:</t>
        </r>
        <r>
          <rPr>
            <sz val="9"/>
            <color indexed="81"/>
            <rFont val="Tahoma"/>
            <family val="2"/>
          </rPr>
          <t xml:space="preserve">
Nog niet bekend, betreft nieuwe periode basisinfrastructuur</t>
        </r>
      </text>
    </comment>
    <comment ref="A89" authorId="0">
      <text>
        <r>
          <rPr>
            <b/>
            <sz val="9"/>
            <color indexed="81"/>
            <rFont val="Tahoma"/>
            <family val="2"/>
          </rPr>
          <t>Alexandra Vennekens:</t>
        </r>
        <r>
          <rPr>
            <sz val="9"/>
            <color indexed="81"/>
            <rFont val="Tahoma"/>
            <family val="2"/>
          </rPr>
          <t xml:space="preserve">
Nog navragen of deze blijft?
</t>
        </r>
      </text>
    </comment>
    <comment ref="M132" authorId="0">
      <text>
        <r>
          <rPr>
            <b/>
            <sz val="9"/>
            <color indexed="81"/>
            <rFont val="Tahoma"/>
            <family val="2"/>
          </rPr>
          <t>Alexandra Vennekens:</t>
        </r>
        <r>
          <rPr>
            <sz val="9"/>
            <color indexed="81"/>
            <rFont val="Tahoma"/>
            <family val="2"/>
          </rPr>
          <t xml:space="preserve">
Of moet dit div. zijn?
</t>
        </r>
      </text>
    </comment>
    <comment ref="M151" authorId="0">
      <text>
        <r>
          <rPr>
            <b/>
            <sz val="9"/>
            <color indexed="81"/>
            <rFont val="Tahoma"/>
            <family val="2"/>
          </rPr>
          <t>Alexandra Vennekens:</t>
        </r>
        <r>
          <rPr>
            <sz val="9"/>
            <color indexed="81"/>
            <rFont val="Tahoma"/>
            <family val="2"/>
          </rPr>
          <t xml:space="preserve">
Was: divers</t>
        </r>
      </text>
    </comment>
    <comment ref="M167" authorId="0">
      <text>
        <r>
          <rPr>
            <b/>
            <sz val="9"/>
            <color indexed="81"/>
            <rFont val="Tahoma"/>
            <family val="2"/>
          </rPr>
          <t>Alexandra Vennekens:</t>
        </r>
        <r>
          <rPr>
            <sz val="9"/>
            <color indexed="81"/>
            <rFont val="Tahoma"/>
            <family val="2"/>
          </rPr>
          <t xml:space="preserve">
Was: DLO/U
</t>
        </r>
      </text>
    </comment>
    <comment ref="B179" authorId="0">
      <text>
        <r>
          <rPr>
            <b/>
            <sz val="9"/>
            <color indexed="81"/>
            <rFont val="Tahoma"/>
            <family val="2"/>
          </rPr>
          <t>Alexandra Vennekens:</t>
        </r>
        <r>
          <rPr>
            <sz val="9"/>
            <color indexed="81"/>
            <rFont val="Tahoma"/>
            <family val="2"/>
          </rPr>
          <t xml:space="preserve">
SZW heeft n.a.v. TWIN-bijeenkomst op 6 oktober extra aandacht besteed aan identificatie van uitgaven aan R&amp;D en innovatie. Dit heeft geleid tot een forse verhoging t.o.v. voorgaande jaren. </t>
        </r>
      </text>
    </comment>
  </commentList>
</comments>
</file>

<file path=xl/comments2.xml><?xml version="1.0" encoding="utf-8"?>
<comments xmlns="http://schemas.openxmlformats.org/spreadsheetml/2006/main">
  <authors>
    <author>Alexandra Vennekens</author>
  </authors>
  <commentList>
    <comment ref="B65" authorId="0">
      <text>
        <r>
          <rPr>
            <b/>
            <sz val="9"/>
            <color indexed="81"/>
            <rFont val="Tahoma"/>
            <family val="2"/>
          </rPr>
          <t>Alexandra Vennekens:</t>
        </r>
        <r>
          <rPr>
            <sz val="9"/>
            <color indexed="81"/>
            <rFont val="Tahoma"/>
            <family val="2"/>
          </rPr>
          <t xml:space="preserve">
Let op! Zit nu niet in het sub-totaal en niet in totaal</t>
        </r>
      </text>
    </comment>
  </commentList>
</comments>
</file>

<file path=xl/comments3.xml><?xml version="1.0" encoding="utf-8"?>
<comments xmlns="http://schemas.openxmlformats.org/spreadsheetml/2006/main">
  <authors>
    <author>Alexandra Vennekens</author>
  </authors>
  <commentList>
    <comment ref="A90" authorId="0">
      <text>
        <r>
          <rPr>
            <b/>
            <sz val="9"/>
            <color indexed="81"/>
            <rFont val="Tahoma"/>
            <family val="2"/>
          </rPr>
          <t>Alexandra Vennekens:</t>
        </r>
        <r>
          <rPr>
            <sz val="9"/>
            <color indexed="81"/>
            <rFont val="Tahoma"/>
            <family val="2"/>
          </rPr>
          <t xml:space="preserve">
Nog navragen of deze blijft?
</t>
        </r>
      </text>
    </comment>
    <comment ref="M133" authorId="0">
      <text>
        <r>
          <rPr>
            <b/>
            <sz val="9"/>
            <color indexed="81"/>
            <rFont val="Tahoma"/>
            <family val="2"/>
          </rPr>
          <t>Alexandra Vennekens:</t>
        </r>
        <r>
          <rPr>
            <sz val="9"/>
            <color indexed="81"/>
            <rFont val="Tahoma"/>
            <family val="2"/>
          </rPr>
          <t xml:space="preserve">
Of moet dit div. zijn?
</t>
        </r>
      </text>
    </comment>
    <comment ref="M156" authorId="0">
      <text>
        <r>
          <rPr>
            <b/>
            <sz val="9"/>
            <color indexed="81"/>
            <rFont val="Tahoma"/>
            <family val="2"/>
          </rPr>
          <t>Alexandra Vennekens:</t>
        </r>
        <r>
          <rPr>
            <sz val="9"/>
            <color indexed="81"/>
            <rFont val="Tahoma"/>
            <family val="2"/>
          </rPr>
          <t xml:space="preserve">
Was: divers</t>
        </r>
      </text>
    </comment>
    <comment ref="M172" authorId="0">
      <text>
        <r>
          <rPr>
            <b/>
            <sz val="9"/>
            <color indexed="81"/>
            <rFont val="Tahoma"/>
            <family val="2"/>
          </rPr>
          <t>Alexandra Vennekens:</t>
        </r>
        <r>
          <rPr>
            <sz val="9"/>
            <color indexed="81"/>
            <rFont val="Tahoma"/>
            <family val="2"/>
          </rPr>
          <t xml:space="preserve">
Was: DLO/U
</t>
        </r>
      </text>
    </comment>
    <comment ref="B180" authorId="0">
      <text>
        <r>
          <rPr>
            <b/>
            <sz val="9"/>
            <color indexed="81"/>
            <rFont val="Tahoma"/>
            <family val="2"/>
          </rPr>
          <t>Alexandra Vennekens:</t>
        </r>
        <r>
          <rPr>
            <sz val="9"/>
            <color indexed="81"/>
            <rFont val="Tahoma"/>
            <family val="2"/>
          </rPr>
          <t xml:space="preserve">
SZW heeft n.a.v. TWIN-bijeenkomst op 6 oktober extra aandacht besteed aan identificatie van uitgaven aan R&amp;D en innovatie. Dit heeft geleid tot een forse verhoging t.o.v. voorgaande jaren. </t>
        </r>
      </text>
    </comment>
  </commentList>
</comments>
</file>

<file path=xl/sharedStrings.xml><?xml version="1.0" encoding="utf-8"?>
<sst xmlns="http://schemas.openxmlformats.org/spreadsheetml/2006/main" count="2146" uniqueCount="582">
  <si>
    <t>Best.</t>
  </si>
  <si>
    <t>Type</t>
  </si>
  <si>
    <t>XIII Economische Zaken</t>
  </si>
  <si>
    <t>Goed functionerende economie en markten</t>
  </si>
  <si>
    <t>Onderzoek &amp; opdrachten</t>
  </si>
  <si>
    <t>R/O</t>
  </si>
  <si>
    <t>Beleidsvoorbereiding en evaluaties Veiligheid en Frequenties</t>
  </si>
  <si>
    <t>R/SO/O</t>
  </si>
  <si>
    <t>Bijdrage Metrologie (Nmi)</t>
  </si>
  <si>
    <t>SO</t>
  </si>
  <si>
    <t>Bijdrage aan het CBS</t>
  </si>
  <si>
    <t>R</t>
  </si>
  <si>
    <t>12.01.01</t>
  </si>
  <si>
    <t>IO</t>
  </si>
  <si>
    <t>O</t>
  </si>
  <si>
    <t>12.01.04</t>
  </si>
  <si>
    <t>12.01.05</t>
  </si>
  <si>
    <t>U/TNO/DLO/SO/O</t>
  </si>
  <si>
    <t>12.01.06</t>
  </si>
  <si>
    <t xml:space="preserve">SO </t>
  </si>
  <si>
    <t>div.</t>
  </si>
  <si>
    <t>Div</t>
  </si>
  <si>
    <t>TNO</t>
  </si>
  <si>
    <t>12.10.01</t>
  </si>
  <si>
    <t>12.10.02</t>
  </si>
  <si>
    <t>12.10.03</t>
  </si>
  <si>
    <t>NWO</t>
  </si>
  <si>
    <t>TNO/DLO/SO/NWO</t>
  </si>
  <si>
    <t>div</t>
  </si>
  <si>
    <t>O/U/TNO</t>
  </si>
  <si>
    <t>13.01.05</t>
  </si>
  <si>
    <t xml:space="preserve">O </t>
  </si>
  <si>
    <t>O/NWO/KNAW/TNO/DLO/R</t>
  </si>
  <si>
    <t>SO/O</t>
  </si>
  <si>
    <t>Een doelmatige en duurzame energievoorziening</t>
  </si>
  <si>
    <t>Topsectoren energie</t>
  </si>
  <si>
    <t>Energie-innovatie (IA) - O</t>
  </si>
  <si>
    <t>Carbon Capture and Storage</t>
  </si>
  <si>
    <t>HFR/NRG</t>
  </si>
  <si>
    <t>O&amp;O bodembeheer</t>
  </si>
  <si>
    <t>Straling</t>
  </si>
  <si>
    <t>RIVM</t>
  </si>
  <si>
    <t>Pallas</t>
  </si>
  <si>
    <t>Bijdrage aan ECN</t>
  </si>
  <si>
    <t>ECN</t>
  </si>
  <si>
    <t>Concurrerende, duurzame, veilige agro-, visserij- en voedselketens</t>
  </si>
  <si>
    <t>Kennisbasis</t>
  </si>
  <si>
    <t>DLO</t>
  </si>
  <si>
    <t>Onderzoeksprogramma's</t>
  </si>
  <si>
    <t>Topsectoren</t>
  </si>
  <si>
    <t>Bijdrage aan ZonMw voor proeven</t>
  </si>
  <si>
    <t>ZonMW</t>
  </si>
  <si>
    <t>Apparaat</t>
  </si>
  <si>
    <t>Centraal Plan Bureau</t>
  </si>
  <si>
    <t>TOTAAL ECONOMISCHE ZAKEN</t>
  </si>
  <si>
    <t>12.01.02</t>
  </si>
  <si>
    <t>12.01.03</t>
  </si>
  <si>
    <t>13.10.04</t>
  </si>
  <si>
    <t>Inst.</t>
  </si>
  <si>
    <t>Proj.</t>
  </si>
  <si>
    <t>X Defensie</t>
  </si>
  <si>
    <t>III Algemene Zaken</t>
  </si>
  <si>
    <t>V Buitenlandse Zaken</t>
  </si>
  <si>
    <t>VI Veiligheid en Justitie</t>
  </si>
  <si>
    <t>VIII Onderwijs, Cultuur en Wetenschap</t>
  </si>
  <si>
    <t>Lucht- en Ruimtevaart</t>
  </si>
  <si>
    <t>Eurostars</t>
  </si>
  <si>
    <t>Overig (NABS 6)</t>
  </si>
  <si>
    <t>Overig (NABS 4)</t>
  </si>
  <si>
    <t>Overig (NABS 11)</t>
  </si>
  <si>
    <t>Bijdrage aan TNO</t>
  </si>
  <si>
    <t>Internationaal Innoveren</t>
  </si>
  <si>
    <t>TKI toeslag</t>
  </si>
  <si>
    <t>Grote Technologische Instituten (MARIN)</t>
  </si>
  <si>
    <t>Grote Technologische Instituten (Deltares)</t>
  </si>
  <si>
    <t>Grote Technologische Instituten (NLR)</t>
  </si>
  <si>
    <t>Topsectoren overig (STW)</t>
  </si>
  <si>
    <t>Topsectoren overig (NABS 6)</t>
  </si>
  <si>
    <t>Ruimtevaart (ESA)</t>
  </si>
  <si>
    <t>Biobased Economy</t>
  </si>
  <si>
    <t>NABS</t>
  </si>
  <si>
    <t>Totaal generaal</t>
  </si>
  <si>
    <t>U0604</t>
  </si>
  <si>
    <t>Technologieontwikkeling en kennistoepassing</t>
  </si>
  <si>
    <t>Defensie</t>
  </si>
  <si>
    <t>NLR-programmafinanciering</t>
  </si>
  <si>
    <t>TOTAAL DEFENSIE</t>
  </si>
  <si>
    <t>Bevorderen van de eenheid van het algemeen regeringsbeleid: wetenschappelijke studies</t>
  </si>
  <si>
    <t>Politieke en soc. systemen, structuren/processen</t>
  </si>
  <si>
    <t>0.1</t>
  </si>
  <si>
    <t>Art. 40</t>
  </si>
  <si>
    <t>TOTAAL ALGEMENE ZAKEN</t>
  </si>
  <si>
    <t>TOTAAL BUITENLANDSE ZAKEN</t>
  </si>
  <si>
    <t>TOTAAL VEILIGHEID EN JUSTITIE</t>
  </si>
  <si>
    <t>TOTAAL ONDERWIJS, CULTUUR EN WETENSCHAP</t>
  </si>
  <si>
    <t>VII Binnenlandse Zaken en Koninkrijksrelaties</t>
  </si>
  <si>
    <t>TOTAAL BINNENLANDSE ZAKEN EN KONINKRIJKSRELATIES</t>
  </si>
  <si>
    <t>91</t>
  </si>
  <si>
    <t>Cultuur, recreatie, religie en massamedia</t>
  </si>
  <si>
    <t>Externe projecten (U)</t>
  </si>
  <si>
    <t>U</t>
  </si>
  <si>
    <t>Externe projecten (SO)</t>
  </si>
  <si>
    <t>WODC: intern onderzoek</t>
  </si>
  <si>
    <t>13.3</t>
  </si>
  <si>
    <t>Nederlands Forensisch Instituut</t>
  </si>
  <si>
    <t>Artikelnr.</t>
  </si>
  <si>
    <t>Begrotingsartikel</t>
  </si>
  <si>
    <t xml:space="preserve">stand begr. </t>
  </si>
  <si>
    <t>ontwerp</t>
  </si>
  <si>
    <t>meerjarencijfers</t>
  </si>
  <si>
    <t>Nabscode</t>
  </si>
  <si>
    <t>XI Infrastructuur en Milieu</t>
  </si>
  <si>
    <t>TOTAAL INFRASTRUCTUUR EN MILIEU</t>
  </si>
  <si>
    <t>XV Sociale Zaken en Werkgelegenheid</t>
  </si>
  <si>
    <t>XVI Volksgezondheid, Welzijn en Sport</t>
  </si>
  <si>
    <t>TOTAAL GENERAAL</t>
  </si>
  <si>
    <t>TOTAAL SOCIALE ZAKEN EN WERKGELEGENHEID</t>
  </si>
  <si>
    <t>TOTAAL VOLKSGEZONDHEID, WELZIJN EN SPORT</t>
  </si>
  <si>
    <t>Universiteiten</t>
  </si>
  <si>
    <t xml:space="preserve">Onderzoek UMC's </t>
  </si>
  <si>
    <t>NUFFIC</t>
  </si>
  <si>
    <t>UNU-MERIT</t>
  </si>
  <si>
    <t>13.5</t>
  </si>
  <si>
    <t>Sociale wetenschappen</t>
  </si>
  <si>
    <t>KNAW</t>
  </si>
  <si>
    <t>Koninklijke Bibliotheek</t>
  </si>
  <si>
    <t>13.1</t>
  </si>
  <si>
    <t>Natuurwetenschappen</t>
  </si>
  <si>
    <t>Naturalis</t>
  </si>
  <si>
    <t>EMBC</t>
  </si>
  <si>
    <t>EMBL</t>
  </si>
  <si>
    <t>ESA</t>
  </si>
  <si>
    <t>Exploratie en exploitatie van de ruimte</t>
  </si>
  <si>
    <t>CERN</t>
  </si>
  <si>
    <t>ESO</t>
  </si>
  <si>
    <t>Primatencentrum (BPRC)</t>
  </si>
  <si>
    <t>Gezondheid</t>
  </si>
  <si>
    <t>STT</t>
  </si>
  <si>
    <t>13.2</t>
  </si>
  <si>
    <t>Technische wetenschappen</t>
  </si>
  <si>
    <t>Poolonderzoek</t>
  </si>
  <si>
    <t>Medische wetenschappen</t>
  </si>
  <si>
    <t>NIVEL</t>
  </si>
  <si>
    <t>Onderwijs</t>
  </si>
  <si>
    <t>STW</t>
  </si>
  <si>
    <t>Niet in te delen wetenschappen</t>
  </si>
  <si>
    <t>Exploratie en exploitatie van het aards milieu</t>
  </si>
  <si>
    <t>Nationale coördinatie</t>
  </si>
  <si>
    <t>Bilaterale samenwerking</t>
  </si>
  <si>
    <t>14.4</t>
  </si>
  <si>
    <t>Rijksbureau voor Kunsthistorisch onderzoek (RKD)</t>
  </si>
  <si>
    <t>Culturele zaken: onderzoek</t>
  </si>
  <si>
    <t>Subsidie Boekmanstichting</t>
  </si>
  <si>
    <t>Algemeen</t>
  </si>
  <si>
    <t>Centrum Ondergronds Bouwen</t>
  </si>
  <si>
    <t>COB</t>
  </si>
  <si>
    <t>PianOo</t>
  </si>
  <si>
    <t>Vernieuwing bouw</t>
  </si>
  <si>
    <t>Vern.Bouw</t>
  </si>
  <si>
    <t>Apparaat Planbureau Leefomgeving (PBL)</t>
  </si>
  <si>
    <t>Milieubeheer en milieuzorg</t>
  </si>
  <si>
    <t>PBL</t>
  </si>
  <si>
    <t>KNMI</t>
  </si>
  <si>
    <t>Mainports en logistiek (proj.)</t>
  </si>
  <si>
    <t>KDC</t>
  </si>
  <si>
    <t>CROW</t>
  </si>
  <si>
    <t>KiM</t>
  </si>
  <si>
    <t>InfraQuest</t>
  </si>
  <si>
    <t>TNO/TUD</t>
  </si>
  <si>
    <t>Veiligheid en mobiliteit (SWOV)</t>
  </si>
  <si>
    <t>SWOV</t>
  </si>
  <si>
    <t>NNI</t>
  </si>
  <si>
    <t>Beperken van verzuring en grootschalige luchtverontreiniging</t>
  </si>
  <si>
    <t>(Basis)financiering CUR</t>
  </si>
  <si>
    <t>CUR</t>
  </si>
  <si>
    <t>IF 12.06.02</t>
  </si>
  <si>
    <t>Doorontwikkeling kennismanagement HWN</t>
  </si>
  <si>
    <t>RWS Corporate innovatie (bijdrage water)</t>
  </si>
  <si>
    <t>RWS Corporate innovatie (bijdrage wegen)</t>
  </si>
  <si>
    <t>Integraal waterbeleid</t>
  </si>
  <si>
    <t>Deltares.</t>
  </si>
  <si>
    <t>1219U</t>
  </si>
  <si>
    <t>Innovatie HWBP2</t>
  </si>
  <si>
    <t>HWBP 3: Overige programmakosten  (innovatie)</t>
  </si>
  <si>
    <t>Subsidies Programma Milieutechnologie (ProMT)</t>
  </si>
  <si>
    <t>6501U</t>
  </si>
  <si>
    <t>WBSO</t>
  </si>
  <si>
    <t>RDA</t>
  </si>
  <si>
    <t>Totaal</t>
  </si>
  <si>
    <t>Overige uitgaven voor innovatie, niet zijnde R&amp;D, in miljoenen euro</t>
  </si>
  <si>
    <t>Algemene Zaken</t>
  </si>
  <si>
    <t xml:space="preserve">Buitenlandse Zaken </t>
  </si>
  <si>
    <t>Veiligheid en Justitie</t>
  </si>
  <si>
    <t>Binnenlandse Zaken en Koninkrijksrelaties</t>
  </si>
  <si>
    <t>Onderwijs, Cultuur en Wetenschap</t>
  </si>
  <si>
    <t>Infrastructuur en Milieu</t>
  </si>
  <si>
    <t>Economische Zaken</t>
  </si>
  <si>
    <t>Sociale Zaken en Werkgelegenheid</t>
  </si>
  <si>
    <t>Volksgezondheid, Welzijn en Sport</t>
  </si>
  <si>
    <t xml:space="preserve">- De cijfers van EZ zijn vanaf 2011 inclusief de bijdragen van de ministeries van OCW, I&amp;M, SZW en VWS voor de vraagfinanciering TNO. </t>
  </si>
  <si>
    <t>Fiscale instrumenten voor R&amp;D en innovatie</t>
  </si>
  <si>
    <t>Uitgaven voor R&amp;D</t>
  </si>
  <si>
    <t>Overzicht per departement</t>
  </si>
  <si>
    <t xml:space="preserve">Totale uitgaven voor R&amp;D en innovatie </t>
  </si>
  <si>
    <t>- waarvan innovatierelevant</t>
  </si>
  <si>
    <t>Uitgaven voor innovatie, niet zijnde R&amp;D</t>
  </si>
  <si>
    <t>2.8</t>
  </si>
  <si>
    <t>Stichting Instituut Clingendael</t>
  </si>
  <si>
    <t>Onderzoeksprogramma</t>
  </si>
  <si>
    <t xml:space="preserve"> </t>
  </si>
  <si>
    <t>AZ</t>
  </si>
  <si>
    <t>BuZa</t>
  </si>
  <si>
    <t>VenJ</t>
  </si>
  <si>
    <t>BZK</t>
  </si>
  <si>
    <t>OCW</t>
  </si>
  <si>
    <t>Def</t>
  </si>
  <si>
    <t>I&amp;M</t>
  </si>
  <si>
    <t>EZ</t>
  </si>
  <si>
    <t>SZW</t>
  </si>
  <si>
    <t>VWS</t>
  </si>
  <si>
    <t>Landbouwwetenschappen</t>
  </si>
  <si>
    <t>Wettelijke onderzoekstaken</t>
  </si>
  <si>
    <t xml:space="preserve">Landbouw </t>
  </si>
  <si>
    <t>Energie</t>
  </si>
  <si>
    <t>Industriële productie en technologie</t>
  </si>
  <si>
    <t>Subsidie Koninklijk Instituut voor de Tropen</t>
  </si>
  <si>
    <t>4.3</t>
  </si>
  <si>
    <t>ZonMw</t>
  </si>
  <si>
    <t>1.2</t>
  </si>
  <si>
    <t>SCP (uitbesteding)</t>
  </si>
  <si>
    <t>SCP (eigen onderzoek)</t>
  </si>
  <si>
    <t>SCP</t>
  </si>
  <si>
    <t>6.1</t>
  </si>
  <si>
    <t>Sport en bewegen</t>
  </si>
  <si>
    <t>Kwaliteit, transparantie en kennisontwikkeling</t>
  </si>
  <si>
    <t>2.1</t>
  </si>
  <si>
    <t>Kwaliteit en veiligheid</t>
  </si>
  <si>
    <t>NKI</t>
  </si>
  <si>
    <t>1.4</t>
  </si>
  <si>
    <t>Proj</t>
  </si>
  <si>
    <t>Netwerkplatform innovatie overheid</t>
  </si>
  <si>
    <t>Health toepassingen in de zorg</t>
  </si>
  <si>
    <t>Overgangssubsidie anonieme e-mental health</t>
  </si>
  <si>
    <t>Contributie aan internationale organisaties</t>
  </si>
  <si>
    <t>BBP (miljarden euro)</t>
  </si>
  <si>
    <t>Projectfinanciering</t>
  </si>
  <si>
    <t>Buitenlandse Zaken</t>
  </si>
  <si>
    <t>Totaal projectfinanciering</t>
  </si>
  <si>
    <t>Institutionele financiering</t>
  </si>
  <si>
    <t>Totaal institutionele financiering</t>
  </si>
  <si>
    <t>Project- en institutionele financiering</t>
  </si>
  <si>
    <t>Aandeel projectfinanciering</t>
  </si>
  <si>
    <t>UMC</t>
  </si>
  <si>
    <t>Definitie van onderzoek en ontwikkelingswerk (R&amp;D)</t>
  </si>
  <si>
    <t>Kenmerkend voor R&amp;D is het element van oorspronkelijkheid of vernieuwing in het onderzoek.</t>
  </si>
  <si>
    <t>- routinematig verzamelen van gegevens of het routinematig verrichten van metingen;</t>
  </si>
  <si>
    <t>- documentatiewerkzaamheden en vertaalwerk, verspreiding van wetenschappelijke publicaties;</t>
  </si>
  <si>
    <t>A. Institutionele financiering: Vaste bijdragen aan instituten</t>
  </si>
  <si>
    <t xml:space="preserve">Uitgaven die samenhangen met min of meer vaste bijdragen aan onderzoeksinstituten. Het betreft de financiering van instellingen zonder dat er sprake is van een directe selectie van projecten of programma’s vanuit het departement en zonder directe inhoudelijke invulling vanuit de departementen. De uitgaven kunnen de vorm hebben van een basisfinanciering, gericht op de instandhouding van een basisvoorziening, en/of een vorm van doelfinanciering, waarbij de invulling plaatsvindt door het instituut. Dat sluit overigens niet uit dat wensen van het departement daarbij een rol kunnen spelen. </t>
  </si>
  <si>
    <t>B. Projectfinancering: Uitgaven voor onderzoek en ontwikkelingswerk in projecten en programma's</t>
  </si>
  <si>
    <t>%-R&amp;D</t>
  </si>
  <si>
    <t>Aandeel van de vermelde uitgaven voor onderzoek en ontwikkelingswerk in de totale uitgaven van het begrotingsartikel.</t>
  </si>
  <si>
    <t>Code NABS-categorie</t>
  </si>
  <si>
    <t xml:space="preserve">De NABS-classificatie is een indeling van het statistische bureau van de EU (EUROSTAT) met als doel de uitgaven voor R&amp;D te classificeren naar het doel dat het departement voor ogen heeft met de uitgaven. De classificatie kent twee niveaus. Deze twee niveaus gelden echter alleen voor twee categorieën (niet-toepassingsgericht onderzoek).
</t>
  </si>
  <si>
    <t>Bestemming</t>
  </si>
  <si>
    <t>ALGEMENE TOELICHTING</t>
  </si>
  <si>
    <r>
      <t>Niet</t>
    </r>
    <r>
      <rPr>
        <sz val="11"/>
        <rFont val="Calibri"/>
        <family val="2"/>
        <scheme val="minor"/>
      </rPr>
      <t xml:space="preserve"> als onderzoek aan te merken zijn activiteiten zoals: </t>
    </r>
  </si>
  <si>
    <t>SPECIFIEKE TOELICHTING</t>
  </si>
  <si>
    <t>Budgetten voor innovatie</t>
  </si>
  <si>
    <t>Overheidsbudgetten, die gericht zijn op het financieren van:</t>
  </si>
  <si>
    <t>- nieuwe of sterk verbeterde producten</t>
  </si>
  <si>
    <t>- nieuwe processen / methoden</t>
  </si>
  <si>
    <t>- nieuwe of sterk verbeterde diensten</t>
  </si>
  <si>
    <t>- administratieve, organisatorische of marketinginnovatie</t>
  </si>
  <si>
    <t>Geschat aandeel innovatie (%)</t>
  </si>
  <si>
    <t xml:space="preserve">Aandeel van de vermelde R&amp;D-uitgaven dat innovatierelevant is. </t>
  </si>
  <si>
    <t>Overige uitgaven voor innovatie, niet zijnde R&amp;D</t>
  </si>
  <si>
    <t>Het betreft departementale budgetten die geen R&amp;D component hebben, maar specifiek gericht zijn op de bevordering van innovatie.</t>
  </si>
  <si>
    <t xml:space="preserve">Onderzoek (en ontwikkeling) omvat systematisch verrichte, creatieve activiteiten, gebaseerd op wetenschappelijke methoden en gericht op </t>
  </si>
  <si>
    <t>het vergroten van wetenschappelijke kennis en op het ontwikkelen van toepassingen van die kennis.</t>
  </si>
  <si>
    <t>Landbouw</t>
  </si>
  <si>
    <t>Politieke en sociale systemen, structuren en processen</t>
  </si>
  <si>
    <t>Niet-toepassingsgericht onderzoek: Onderzoek gefinancierd uit algemene universitaire fondsen (1ste geldstroom)</t>
  </si>
  <si>
    <t>12.3</t>
  </si>
  <si>
    <t>Niet-toepassingsgericht onderzoek: Onderzoek gefinancierd uit andere bronnen dan hoofdstuk 12</t>
  </si>
  <si>
    <t>Omvang fiscale instrumenten voor R&amp;D en innovatie, in miljoenen euro</t>
  </si>
  <si>
    <t>MIA</t>
  </si>
  <si>
    <t>VAMIL</t>
  </si>
  <si>
    <t>Wet Bevordering Speur- en Ontwikkelingswerk</t>
  </si>
  <si>
    <t>Research &amp; Development Aftrek</t>
  </si>
  <si>
    <t>Regeling Willekeurige afschrijving milieu-investeringen</t>
  </si>
  <si>
    <t>Regeling Milieu Investeringsaftrek</t>
  </si>
  <si>
    <t>Ministerie van Economische Zaken</t>
  </si>
  <si>
    <t xml:space="preserve">Groen beleggen / MIA / VAMIL </t>
  </si>
  <si>
    <t>9.3</t>
  </si>
  <si>
    <t>in %</t>
  </si>
  <si>
    <t>Beschikbaarheidsbijdrage academische zorg</t>
  </si>
  <si>
    <t>- Toelichting</t>
  </si>
  <si>
    <t>INHOUD VAN HET DOCUMENT</t>
  </si>
  <si>
    <t>Ministerie van Infrastructuur en Milieu</t>
  </si>
  <si>
    <t>Strategisch onderzoek RIVM</t>
  </si>
  <si>
    <t>- De cijfers van OCW zijn wat betreft het onderzoeksgedeelte van de eerste geldstroom van de universiteiten inclusief de bijdrage van EZ aan het onderzoeks-</t>
  </si>
  <si>
    <t>realisatie</t>
  </si>
  <si>
    <t>Pieken in de Delta</t>
  </si>
  <si>
    <t>- in procenten van het totaal</t>
  </si>
  <si>
    <t xml:space="preserve">Totaal </t>
  </si>
  <si>
    <t>R&amp;D-uitgaven per departement, miljoenen euro</t>
  </si>
  <si>
    <t>Innovatie-uitgaven per departement, miljoenen euro</t>
  </si>
  <si>
    <t>Totale uitgaven voor R&amp;D en innovatie per departement, miljoenen euro</t>
  </si>
  <si>
    <t xml:space="preserve">Welke organisatie heeft het onderzoek verricht? </t>
  </si>
  <si>
    <t>subtotaal innovatiedeel EZ-begroting</t>
  </si>
  <si>
    <t>subtotaal landbouwdeel van de EZ-begroting</t>
  </si>
  <si>
    <t>% innovatie-</t>
  </si>
  <si>
    <t>relevant</t>
  </si>
  <si>
    <t>Inst+Proj.</t>
  </si>
  <si>
    <t>NWO STW</t>
  </si>
  <si>
    <t>NWO Grootschalige researchinfrastructuur</t>
  </si>
  <si>
    <t>NWO Regieorgaan onderwijsonderzoek</t>
  </si>
  <si>
    <t>Rijksdienst voor het Cultureel Erfgoed (RCE)</t>
  </si>
  <si>
    <t>18</t>
  </si>
  <si>
    <t>Woningmarkt, woonomgeving en bouw</t>
  </si>
  <si>
    <t>Programmafinanciering TNO (totaal)</t>
  </si>
  <si>
    <t>BKZ</t>
  </si>
  <si>
    <t>Ziektepreventie (FES RSV)</t>
  </si>
  <si>
    <t>Ziektepreventie (topsectoren)</t>
  </si>
  <si>
    <t>Kwaliteit en veiligheid (FES Lifelines)</t>
  </si>
  <si>
    <t>Kwaliteit en veiligheid (FES LSH)</t>
  </si>
  <si>
    <t>Kwaliteit en Veiligheid / Instellingssubsidie Nictiz</t>
  </si>
  <si>
    <t>Topsectoren: Kwaliteit, transparantie en kennisontwikkeling</t>
  </si>
  <si>
    <t>18.10</t>
  </si>
  <si>
    <t>Co-financiering EFRO en Interreg</t>
  </si>
  <si>
    <t>Innovatiefonds: Innovatiekrediet</t>
  </si>
  <si>
    <t>Innovatiefonds: risicokapitaal Seed</t>
  </si>
  <si>
    <t>MKB-Innovatiestimulering Topsectoren (MIT)</t>
  </si>
  <si>
    <t>Innovatiefonds: Fund to Fund</t>
  </si>
  <si>
    <t>12/13/14.10.05</t>
  </si>
  <si>
    <t>Dierenwelzijn</t>
  </si>
  <si>
    <t>Topsectoren overig (NABS 4)</t>
  </si>
  <si>
    <t>Topsectoren overig (NABS 10)</t>
  </si>
  <si>
    <t>Topsectoren overig (NABS 6 -inst)</t>
  </si>
  <si>
    <t>11.1</t>
  </si>
  <si>
    <t>10.7</t>
  </si>
  <si>
    <t>Landenspecifieke sectorale samenwerking</t>
  </si>
  <si>
    <t>6.2</t>
  </si>
  <si>
    <t>Thematische samenwerking</t>
  </si>
  <si>
    <t>10.4</t>
  </si>
  <si>
    <t>Speciale activiteiten</t>
  </si>
  <si>
    <t>Topsectoren overig (NABS 6 en 13)</t>
  </si>
  <si>
    <t>22.01.06</t>
  </si>
  <si>
    <t>Overig</t>
  </si>
  <si>
    <t>13.01.09</t>
  </si>
  <si>
    <t>Kamers van Koophandel / ondernemerspleinen</t>
  </si>
  <si>
    <t>Topsectoren Energie</t>
  </si>
  <si>
    <t>Energie-innovatie (IA)</t>
  </si>
  <si>
    <t>Uitgaven voor R&amp;D en innovatie, per departement, in miljoenen euro</t>
  </si>
  <si>
    <t>A.</t>
  </si>
  <si>
    <t xml:space="preserve">B. </t>
  </si>
  <si>
    <t xml:space="preserve">C. </t>
  </si>
  <si>
    <t>Uitgaven voor R&amp;D, als % BBP</t>
  </si>
  <si>
    <t>Uitgaven voor innovatie, niet zijnde R&amp;D, als % BBP</t>
  </si>
  <si>
    <t>Totale uitgaven voor R&amp;D en innovatie, als % BBP</t>
  </si>
  <si>
    <t>Fiscale instrumenten voor R&amp;D en innovatie, als % BBP</t>
  </si>
  <si>
    <t>in procenten van het BBP</t>
  </si>
  <si>
    <t>in miljoenen euro</t>
  </si>
  <si>
    <t>Hoge Flux Reactor</t>
  </si>
  <si>
    <t>waarvan innovatierelevante R&amp;D-uitgaven, miljoenen euro</t>
  </si>
  <si>
    <t>Overzicht per departement van de R&amp;D-uitgaven, die innovatierelevant zijn</t>
  </si>
  <si>
    <t>R&amp;D-uitgaven van de overheid naar doelstelling volgens de NABS-classificatie 2007, in miljoenen euro's</t>
  </si>
  <si>
    <t>TOELICHTING</t>
  </si>
  <si>
    <t>Het gaat om afgebakende overheidsinitiatieven of -interventies waar uit het doel duidelijk blijkt dat ze innovatie of innovatiegerelateerde activiteiten bevorderen in de betreffende sector.</t>
  </si>
  <si>
    <t>33.2</t>
  </si>
  <si>
    <t>Afdrachten CROW</t>
  </si>
  <si>
    <t xml:space="preserve">NEN </t>
  </si>
  <si>
    <t>Kennisontwikkeling (allianties) universiteiten</t>
  </si>
  <si>
    <t>98.02.18</t>
  </si>
  <si>
    <t>Meteorologie, seismologie en Aardobservatie</t>
  </si>
  <si>
    <t>23.01</t>
  </si>
  <si>
    <t>1217U01010013</t>
  </si>
  <si>
    <t>Subsidies KIS</t>
  </si>
  <si>
    <t>1297U01020003</t>
  </si>
  <si>
    <t>Onderzoek / Kennis (KIS)</t>
  </si>
  <si>
    <t>1297U01010005</t>
  </si>
  <si>
    <t>1297U01010009</t>
  </si>
  <si>
    <t>1214U02020003</t>
  </si>
  <si>
    <t>1220u01070001</t>
  </si>
  <si>
    <t>Traffic Quest</t>
  </si>
  <si>
    <t>DF 5.01</t>
  </si>
  <si>
    <t>12.11</t>
  </si>
  <si>
    <t>DF 01</t>
  </si>
  <si>
    <t>Topsectoren overig (NWO)</t>
  </si>
  <si>
    <t>4,6,8</t>
  </si>
  <si>
    <t>Uitfinanciering subsidies (ICT beleid)</t>
  </si>
  <si>
    <t>13.06.09</t>
  </si>
  <si>
    <t>Energie-Akkoord SER</t>
  </si>
  <si>
    <t>Plantaardige productie (NABS 6)</t>
  </si>
  <si>
    <t>Agrokennis (Concurrerende, duurzame, veilige agro-, visserij en voedselketens)</t>
  </si>
  <si>
    <t>proj.</t>
  </si>
  <si>
    <t>Volksgezondheid: Ethiek</t>
  </si>
  <si>
    <t>3.2.1</t>
  </si>
  <si>
    <t>Kwaliteit en veiligheid (TTI Pharma)</t>
  </si>
  <si>
    <t>Sectorplan mbo-hbo techniek</t>
  </si>
  <si>
    <t>Met de middelen voor het sectorplan mbo-techniek worden de centra voor innovatief vakmanschap in het mbo gefinancierd (eerste generatie). Deze centra, die met cofinanciering van bedrijven tot stand komen, zijn gericht op toponderwijs, toponderzoek en innovaties in het bedrijfsleven.</t>
  </si>
  <si>
    <t>Regionaal investeringsfonds (pps in het mbo)</t>
  </si>
  <si>
    <t xml:space="preserve">6501U </t>
  </si>
  <si>
    <t>5515u</t>
  </si>
  <si>
    <t>Subsidies Zeehaveninnovatieproject (ZIP)</t>
  </si>
  <si>
    <t>1217U</t>
  </si>
  <si>
    <t>1218U</t>
  </si>
  <si>
    <t>KLM</t>
  </si>
  <si>
    <t>via Connekt en (onderzoeks-)projecten</t>
  </si>
  <si>
    <t>via NWO en TKI</t>
  </si>
  <si>
    <t>via STICHTING PROJECTEN BINNENVAART</t>
  </si>
  <si>
    <t>Publiek/Privaat Projectfinanciering</t>
  </si>
  <si>
    <t>Topsectoren overig: TKI Click</t>
  </si>
  <si>
    <t>Uitfinanciering subsidies: ICT-beleid</t>
  </si>
  <si>
    <t>Uitfinanciering subsidies: Innovatieregeling Scheepsbouw</t>
  </si>
  <si>
    <t>Plantaardige productie</t>
  </si>
  <si>
    <t>Duurzame veehouderij (incl. duurzame stallen)</t>
  </si>
  <si>
    <t>Innovatiefonds: vroege fase / informal investors (RVO &amp;STW)</t>
  </si>
  <si>
    <t>19.15.05</t>
  </si>
  <si>
    <t>Innovatiefonds: ROM's</t>
  </si>
  <si>
    <t>Sport en bewegen: Kennis en Innovatieagenda Sport</t>
  </si>
  <si>
    <t>ZonMw: Kennis en Innovatie Sportagenda</t>
  </si>
  <si>
    <t>TUD/TUE e.a.</t>
  </si>
  <si>
    <t>Per 2016 is de Research &amp; Development Aftrek (RDA) samengevoegd met de WBSO</t>
  </si>
  <si>
    <t>Kennis voor Klimaat</t>
  </si>
  <si>
    <t>Stichting Kennis en Klimaat</t>
  </si>
  <si>
    <t>Onderzoekscomponent hogescholen (HBO Bekostiging Deel ontwerp en ontwikkeling)</t>
  </si>
  <si>
    <t>in procenten van het totaal</t>
  </si>
  <si>
    <t xml:space="preserve">Uitgaven van een departement voor het onderzoek dat het departement zelf verricht of laat doen door eigen onderzoeksdiensten dan wel uitbesteedt aan universiteiten, instituten of andere derden (private non profit of private partijen). Het gaat om geld dat wordt toegekend aan een groep of individu voor de uitvoering van een R&amp;D-activiteit, dat beperkt is in reikwijdte, budget en tijd, en meestal wordt uitgevoerd op basis van de indiening van een onderzoeksvoorstel dat de onderzoeksactiviteiten beschrijft. </t>
  </si>
  <si>
    <t>- haalbaarheidsonderzoeken, kwaliteitscontroles en vergelijkende onderzoeken;</t>
  </si>
  <si>
    <t>- marketing en implementatie van toepassingen.</t>
  </si>
  <si>
    <t>activiteiten (technologisch, organisatorisch, commercieel) die primair gericht zijn op en de intentie hebben om vernieuwing in zowel de private als de publieke sector tot stand te brengen, leidend tot …</t>
  </si>
  <si>
    <t>Innovatiefonds: vroege fase / informal investors</t>
  </si>
  <si>
    <t>Innovatiefonds: Investeringen in fundamenteel en toegepast onderzoek</t>
  </si>
  <si>
    <t>Transport, telecommunicatie en ov. infrastructuren</t>
  </si>
  <si>
    <t>Berekende absolute bedragen innovatierelevant</t>
  </si>
  <si>
    <t>Het Regionaal Investeringsfonds mbo, onderdeel van het Techniekpact, financiert projecten voor innovatieve samenwerking in het beroepsonderwijs en wil daarmee een betere aansluiting van het onderwijs op de praktijk bereiken. Meer dan 600 bedrijven, ruim 50 mbo-instellingen en regionale overheden investeren gezamenlijk in innovatief onderwijs.</t>
  </si>
  <si>
    <t>De onderuitputting van de RDA voor 2012 is toegevoegd aan het budget voor 2015</t>
  </si>
  <si>
    <t>Transport, telecommunicatie en overige infrastructuren</t>
  </si>
  <si>
    <t>- Een totaaloverzicht van de overheidsuitgaven voor R&amp;D en innovatie voor de periode 2015-2021, in miljoenen euro en procenten van het BBP</t>
  </si>
  <si>
    <t>- Het overzicht van de overheidsuitgaven voor R&amp;D en het aandeel innovatierelevante uitgaven daarbinnen, per begrotingsartikel, 2015-2021, in miljoenen euro</t>
  </si>
  <si>
    <t>- Het overzicht van de overheidsuitgaven voor innovatie, 2015-2021, in miljoenen euro</t>
  </si>
  <si>
    <t>- Het overzicht van de overheidsuitgaven voor R&amp;D en innovatie, per departement, 2015-2021, in miljoenen euro</t>
  </si>
  <si>
    <t>- Het overzicht van fiscale instrumenten voor R&amp;D en innovatie, 2015-2021, in miljoenen euro</t>
  </si>
  <si>
    <t>- Het overzicht van overheidsuitgaven voor R&amp;D naar type uitgaven, 2015-2021</t>
  </si>
  <si>
    <t>- Een overzicht van de R&amp;D-uitgaven per NABS-categorie, 2015-2021 (Europese classificatie 2007)</t>
  </si>
  <si>
    <t xml:space="preserve">- De cijfers voor 2015 zijn de realisatiecijfers. De cijfers voor 2016 zijn de voorlopige realisatiecijfers 2016, stand begroting 2017. De tabel bevat voor 2017 de cijfers </t>
  </si>
  <si>
    <t xml:space="preserve">van de ontwerpbegroting. De cijfers voor de jaren 2018-2021 zijn de meerjarenramingen. </t>
  </si>
  <si>
    <t>Overheidsuitgaven voor R&amp;D en innovatie, 2015-2021, in miljoenen euro en in procenten BBP</t>
  </si>
  <si>
    <t>Overheidsuitgaven voor R&amp;D 2015-2021, op basis van begrotingscijfers 2017, per begrotingsartikel, per departement, in miljoenen euro</t>
  </si>
  <si>
    <t>2015-2021</t>
  </si>
  <si>
    <t>Cijfers WBSO en RDA gebaseerd op de begroting van EZ voor 2017 (cijfers 2015-2021)</t>
  </si>
  <si>
    <t>Arbeidsmarkt</t>
  </si>
  <si>
    <t>Integratie en maatschappelijke samenhang</t>
  </si>
  <si>
    <t>Integratie en Maatschappelijke samenhang</t>
  </si>
  <si>
    <t>Bijstand, Participatiewet en Toeslagenwet</t>
  </si>
  <si>
    <t>Zorgen voor een goede en toegankelijke zorg "In voor Zorg"</t>
  </si>
  <si>
    <t>10.2</t>
  </si>
  <si>
    <t>Kwaliteit en veiligheid: Zorg voor innoveren</t>
  </si>
  <si>
    <t>Kwaliteit en Veiligheid: Health monitor Nictiz/NIVEL</t>
  </si>
  <si>
    <t>Kwaliteit en Veiligheid: IHTSDO (SNOMED CT)</t>
  </si>
  <si>
    <t>Toegankelijkheid en betaalbaarheid: e-mental health</t>
  </si>
  <si>
    <t>12.10/13.10/18/10</t>
  </si>
  <si>
    <t>Onderzoek</t>
  </si>
  <si>
    <t>U/R/SO/O</t>
  </si>
  <si>
    <t>12.10</t>
  </si>
  <si>
    <t>Small Business Innovation Research</t>
  </si>
  <si>
    <t>Art. 1</t>
  </si>
  <si>
    <t>Art. 2</t>
  </si>
  <si>
    <t>Art. 3</t>
  </si>
  <si>
    <t>Bedrijvenbeleid: innovatief en duurzaam ondernemen</t>
  </si>
  <si>
    <t>Toekomstfonds</t>
  </si>
  <si>
    <t>19.10</t>
  </si>
  <si>
    <t>Startups/MKB</t>
  </si>
  <si>
    <t>U/HBO/TNO/SO/O/GTI</t>
  </si>
  <si>
    <t>12.01.07</t>
  </si>
  <si>
    <t>Art.4</t>
  </si>
  <si>
    <t>14.01</t>
  </si>
  <si>
    <t>15.01</t>
  </si>
  <si>
    <t>Overige subsidies</t>
  </si>
  <si>
    <t>14.06</t>
  </si>
  <si>
    <t>14.10</t>
  </si>
  <si>
    <t>14.08</t>
  </si>
  <si>
    <t>Bijdrage TNO bodembeheer</t>
  </si>
  <si>
    <t>Meerjarenprogramma Nationaal Coördinator Groningen</t>
  </si>
  <si>
    <t>Art. 5</t>
  </si>
  <si>
    <t>Onderzoek NCG</t>
  </si>
  <si>
    <t>15.06</t>
  </si>
  <si>
    <t>Div.</t>
  </si>
  <si>
    <t>Art. 6</t>
  </si>
  <si>
    <t>16.06</t>
  </si>
  <si>
    <t>13.4</t>
  </si>
  <si>
    <t>16.40</t>
  </si>
  <si>
    <t>Opdrachtverlening via RIVM</t>
  </si>
  <si>
    <t>11.06</t>
  </si>
  <si>
    <t>11.08</t>
  </si>
  <si>
    <t>Startups/mkb</t>
  </si>
  <si>
    <t>%</t>
  </si>
  <si>
    <t>KIRE (CPB)</t>
  </si>
  <si>
    <t>Veiligheid en mobiliteit Universiteit Utrecht Rijvaardiheid cat III medicijnen</t>
  </si>
  <si>
    <t>1214U02010001</t>
  </si>
  <si>
    <t>1219U02010001</t>
  </si>
  <si>
    <t>Aandeel Kennisvragen in opdracht - RIVM</t>
  </si>
  <si>
    <t>Onderzoek / Kennis (KiM)</t>
  </si>
  <si>
    <t>KIS</t>
  </si>
  <si>
    <t>pm</t>
  </si>
  <si>
    <t>HWS - Waterveiligheid</t>
  </si>
  <si>
    <t>HWS - Deltares</t>
  </si>
  <si>
    <t>HWS - Zoetwatervoorziening</t>
  </si>
  <si>
    <t>DF 02</t>
  </si>
  <si>
    <t>DF 07</t>
  </si>
  <si>
    <t>HWS - Waterkwaliteit</t>
  </si>
  <si>
    <t>Bron: TWIN-database Rathenau Instituut</t>
  </si>
  <si>
    <t>VO: CITO (digitale examens)</t>
  </si>
  <si>
    <t>VO: CvTE (digitale examens)</t>
  </si>
  <si>
    <t>VO: CITO/CvTE (rekentoets)</t>
  </si>
  <si>
    <t>VO: DUO (FACET)</t>
  </si>
  <si>
    <t>VO: CITO/CvTE (DTT)</t>
  </si>
  <si>
    <t>VO: Verschillende universiteiten (DTT)</t>
  </si>
  <si>
    <t>PO: Doorbraak ICT: PO-Raad</t>
  </si>
  <si>
    <t>PO: Doorbraak ICT-Kennisnet</t>
  </si>
  <si>
    <t>PO: Onderwijs 2032</t>
  </si>
  <si>
    <t>PO: Lerarenontwikkelfonds (LOF)-DUSi</t>
  </si>
  <si>
    <t>PO: Adaptieve eindtoets - CITO</t>
  </si>
  <si>
    <t>PO: Adaptieve eindtoets - CvE</t>
  </si>
  <si>
    <t>PO: Kennisrotonde - NRO</t>
  </si>
  <si>
    <t>PO: Pilot werkplaatsen Onderwijsonderzoek - NRO</t>
  </si>
  <si>
    <t>PO: Academische werkplaatsen - NRO</t>
  </si>
  <si>
    <t>PO: Innovatiecentra VVE</t>
  </si>
  <si>
    <t>PO: Evaluatie tweetalig PO - ITS</t>
  </si>
  <si>
    <t>PO: Organisatie bijeenkomsten Pilot Startgroepen peuters</t>
  </si>
  <si>
    <t>0, 159</t>
  </si>
  <si>
    <t>HBO: Comeniusbeurs</t>
  </si>
  <si>
    <t>incl. uitvoeringskosten NRO</t>
  </si>
  <si>
    <t>WO: Comeniusbeurs</t>
  </si>
  <si>
    <t xml:space="preserve">HO: Subsidieregeling open en online onderwijs </t>
  </si>
  <si>
    <t>incl. uitvoeringskosten SURF</t>
  </si>
  <si>
    <t>NWO: Praktijkgericht onderzoek hbo</t>
  </si>
  <si>
    <t>Nationaal Archief tbv Archief Innovatie</t>
  </si>
  <si>
    <t>Stimuleringsfonds voor de Journalistiek</t>
  </si>
  <si>
    <t>Koninklijke Bibliotheek (hoofdbekostiging)</t>
  </si>
  <si>
    <t>Naturalis - Biodiversity center</t>
  </si>
  <si>
    <t>TNO/MARIN</t>
  </si>
  <si>
    <t>TNO/GTI/DGI</t>
  </si>
  <si>
    <t xml:space="preserve">Caribisch Nederland </t>
  </si>
  <si>
    <t>12 div.</t>
  </si>
  <si>
    <t xml:space="preserve">De cijfers 2015-2017 betreffen de nominale BBP-cijfers van het CPB. </t>
  </si>
  <si>
    <t>NWO Talentenontwikkeling (o.a. VI)</t>
  </si>
  <si>
    <t>- waarvan (relevante) uitgaven voor innovatie</t>
  </si>
  <si>
    <t>- (relevante) uitgaven voor innovatie</t>
  </si>
  <si>
    <t>Onderwijsonderzoek</t>
  </si>
  <si>
    <t>Emancipatie</t>
  </si>
  <si>
    <t>6/7</t>
  </si>
  <si>
    <t>% Innovatie</t>
  </si>
  <si>
    <t>Fiscale instrumenten voor R&amp;D</t>
  </si>
  <si>
    <r>
      <t xml:space="preserve">Totaal fiscale instrumenten voor </t>
    </r>
    <r>
      <rPr>
        <b/>
        <u/>
        <sz val="11"/>
        <color theme="1"/>
        <rFont val="Calibri"/>
        <family val="2"/>
        <scheme val="minor"/>
      </rPr>
      <t>R&amp;D</t>
    </r>
  </si>
  <si>
    <r>
      <t>Totaal fiscale instrumenten voor</t>
    </r>
    <r>
      <rPr>
        <b/>
        <u/>
        <sz val="11"/>
        <color theme="1"/>
        <rFont val="Calibri"/>
        <family val="2"/>
        <scheme val="minor"/>
      </rPr>
      <t xml:space="preserve"> Innovatie</t>
    </r>
  </si>
  <si>
    <t>Onderwijsonderzoek (div. artikelen)</t>
  </si>
  <si>
    <t>NWO - Projectfinanciering</t>
  </si>
  <si>
    <t>Bewerking R&amp;D-cijfers begroting 2017, naar type financiering</t>
  </si>
  <si>
    <t>Diverse</t>
  </si>
  <si>
    <t>gedeelte van de Wageningen Universiteit en de cijfers van EZ zijn exclusief deze bijdrage (in 2017 geschat op ongeveer 113 miljoen euro).</t>
  </si>
  <si>
    <t>% R&amp;D van (sub)-artikel</t>
  </si>
  <si>
    <t xml:space="preserve">Bij de introductie van de innovatiebox is de jaarlijkse derving voor de structurele situatie geraamd op €625 miljoen. </t>
  </si>
  <si>
    <r>
      <t>Voor 2015 is het budgettair belang geraamd op budgettair €1.186 miljoen</t>
    </r>
    <r>
      <rPr>
        <i/>
        <sz val="11"/>
        <rFont val="Calibri"/>
        <family val="2"/>
        <scheme val="minor"/>
      </rPr>
      <t>. Bron: Internetbijlagen bij Miljoenennota 2017. http://www.rijksbegroting.nl/2017/kamerstukken,2016/9/21/kst815004_4.html</t>
    </r>
  </si>
  <si>
    <t>Aandeel innovatie in % van (sub-)artikel</t>
  </si>
  <si>
    <t>% R&amp;D van (sub-)artikel</t>
  </si>
  <si>
    <r>
      <t>Ministerie van Financi</t>
    </r>
    <r>
      <rPr>
        <b/>
        <i/>
        <sz val="10"/>
        <color theme="1"/>
        <rFont val="Arial"/>
        <family val="2"/>
      </rPr>
      <t>ё</t>
    </r>
    <r>
      <rPr>
        <b/>
        <i/>
        <sz val="11"/>
        <color theme="1"/>
        <rFont val="Calibri"/>
        <family val="2"/>
        <scheme val="minor"/>
      </rPr>
      <t>n</t>
    </r>
  </si>
  <si>
    <t>WBSO (RDA)</t>
  </si>
  <si>
    <t>NWO - Institutionele financiering</t>
  </si>
  <si>
    <t>De BBP-cijfers 2015-2021 zijn gebaseerd op het Centraal Economisch Plan 2017 d.d. 24 maart 2017</t>
  </si>
  <si>
    <t xml:space="preserve">De BBP-volumegroei in 2018 is 1,8%, de volumegroei in de jaren 2019-2021 is 1,7%. </t>
  </si>
  <si>
    <t>https://www.cpb.nl/publicatie/centraal-economisch-plan-2017</t>
  </si>
  <si>
    <t>Innovatiebox*</t>
  </si>
  <si>
    <r>
      <rPr>
        <sz val="11"/>
        <rFont val="Calibri"/>
        <family val="2"/>
        <scheme val="minor"/>
      </rPr>
      <t xml:space="preserve">In 2016 is het bedrag voor de Innovatiebox geraamd op €1.390 mln. en in 2017 op €1.365 mln. </t>
    </r>
    <r>
      <rPr>
        <i/>
        <sz val="11"/>
        <rFont val="Calibri"/>
        <family val="2"/>
        <scheme val="minor"/>
      </rPr>
      <t>Bron: Nota over de toestand van 's Rijks Financien. Bijlagen bij de Miljoenennota 2017, nr. 2</t>
    </r>
  </si>
  <si>
    <t>In de internationale statistieken worden de met de innovatiebox vergelijkbare "patent boxes" om die reden ook niet meegenomen bij de fiscale steun voor R&amp;D en innovatie (zie OECD Frascati Manual 2015, blz. 346).</t>
  </si>
  <si>
    <r>
      <t xml:space="preserve">* Naast de fiscale innovatieregelingen WBSO en de RDA is er de </t>
    </r>
    <r>
      <rPr>
        <u/>
        <sz val="11"/>
        <color theme="1"/>
        <rFont val="Calibri"/>
        <family val="2"/>
        <scheme val="minor"/>
      </rPr>
      <t>Innovatiebox</t>
    </r>
    <r>
      <rPr>
        <sz val="11"/>
        <color theme="1"/>
        <rFont val="Calibri"/>
        <family val="2"/>
        <scheme val="minor"/>
      </rPr>
      <t xml:space="preserve">. </t>
    </r>
  </si>
  <si>
    <t>De innovatiebox wordt niet meegenomen in de TWIN-tabellen, omdat het geen gebudgetteerde regeling is en omdat het een ander type regeling is dan bijvoorbeeld de WBSO.</t>
  </si>
  <si>
    <t xml:space="preserve"> Waar het bij de WBSO gaat om belastingvoordelen over specifieke R&amp;D en innovatie-uitgaven, gaat het bij de innovatiebox om een lager belastingtarief</t>
  </si>
  <si>
    <t xml:space="preserve">Het toekomstig budgettair belang en het daarmee samenhangende gebruik van de WBSO is niet beperkt tot een bepaald budget, zodat het kan meelopen met economscie ontwikkelingen. </t>
  </si>
  <si>
    <r>
      <t xml:space="preserve">over winst die voortkomt uit R&amp;D- of innovatieactiviteiten die bedrijven </t>
    </r>
    <r>
      <rPr>
        <b/>
        <i/>
        <sz val="11"/>
        <color theme="1"/>
        <rFont val="Calibri"/>
        <family val="2"/>
        <scheme val="minor"/>
      </rPr>
      <t>in het verleden</t>
    </r>
    <r>
      <rPr>
        <sz val="11"/>
        <color theme="1"/>
        <rFont val="Calibri"/>
        <family val="2"/>
        <scheme val="minor"/>
      </rPr>
      <t xml:space="preserve"> hebben ondernomen.</t>
    </r>
  </si>
</sst>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41" formatCode="_ * #,##0_ ;_ * \-#,##0_ ;_ * &quot;-&quot;_ ;_ @_ "/>
    <numFmt numFmtId="44" formatCode="_ &quot;€&quot;\ * #,##0.00_ ;_ &quot;€&quot;\ * \-#,##0.00_ ;_ &quot;€&quot;\ * &quot;-&quot;??_ ;_ @_ "/>
    <numFmt numFmtId="43" formatCode="_ * #,##0.00_ ;_ * \-#,##0.00_ ;_ * &quot;-&quot;??_ ;_ @_ "/>
    <numFmt numFmtId="164" formatCode="0.000"/>
    <numFmt numFmtId="165" formatCode="#,##0.000"/>
    <numFmt numFmtId="166" formatCode="&quot;fl&quot;\ #,##0.00_-;&quot;fl&quot;\ #,##0.00\-"/>
    <numFmt numFmtId="167" formatCode="#,##0.0"/>
    <numFmt numFmtId="168" formatCode="d\ m\a\a\nd\ \J\J\J\J"/>
    <numFmt numFmtId="169" formatCode="0.0"/>
    <numFmt numFmtId="170" formatCode="_-&quot;€&quot;\ * #,##0.00_-;_-&quot;€&quot;\ * #,##0.00\-;_-&quot;€&quot;\ * &quot;-&quot;??_-;_-@_-"/>
    <numFmt numFmtId="171" formatCode="s\t\a\nd\a\a\rd"/>
    <numFmt numFmtId="172" formatCode="_ * #,##0_ ;_ * \-#,##0_ ;_ * &quot;-&quot;??_ ;_ @_ "/>
    <numFmt numFmtId="173" formatCode="mm/dd"/>
    <numFmt numFmtId="174" formatCode="mmmm\ d\,\ yyyy"/>
    <numFmt numFmtId="175" formatCode="_-* #,##0.00_-;_-* #,##0.00\-;_-* &quot;-&quot;??_-;_-@_-"/>
    <numFmt numFmtId="176" formatCode="_(&quot;$&quot;* #,##0_);_(&quot;$&quot;* \(#,##0\);_(&quot;$&quot;* &quot;-&quot;_);_(@_)"/>
    <numFmt numFmtId="177" formatCode="&quot;fl&quot;\ #,##0_-;&quot;fl&quot;\ #,##0\-"/>
    <numFmt numFmtId="178" formatCode="_(&quot;$&quot;* #,##0.00_);_(&quot;$&quot;* \(#,##0.00\);_(&quot;$&quot;* &quot;-&quot;??_);_(@_)"/>
    <numFmt numFmtId="179" formatCode="_ * #,##0.0_ ;_ * \-#,##0.0_ ;_ * &quot;-&quot;??_ ;_ @_ "/>
    <numFmt numFmtId="180" formatCode="_ * #,##0.000_ ;_ * \-#,##0.000_ ;_ * &quot;-&quot;???_ ;_ @_ "/>
    <numFmt numFmtId="181" formatCode="0.0%"/>
  </numFmts>
  <fonts count="133">
    <font>
      <sz val="10"/>
      <color theme="1"/>
      <name val="Arial"/>
      <family val="2"/>
    </font>
    <font>
      <sz val="11"/>
      <color theme="1"/>
      <name val="Calibri"/>
      <family val="2"/>
      <scheme val="minor"/>
    </font>
    <font>
      <b/>
      <sz val="10"/>
      <name val="Calibri"/>
      <family val="2"/>
      <scheme val="minor"/>
    </font>
    <font>
      <sz val="11"/>
      <name val="Calibri"/>
      <family val="2"/>
      <scheme val="minor"/>
    </font>
    <font>
      <b/>
      <sz val="11"/>
      <name val="Calibri"/>
      <family val="2"/>
      <scheme val="minor"/>
    </font>
    <font>
      <sz val="10"/>
      <name val="Calibri"/>
      <family val="2"/>
      <scheme val="minor"/>
    </font>
    <font>
      <sz val="10"/>
      <color theme="1"/>
      <name val="Calibri"/>
      <family val="2"/>
      <scheme val="minor"/>
    </font>
    <font>
      <b/>
      <sz val="11"/>
      <color theme="1"/>
      <name val="Calibri"/>
      <family val="2"/>
      <scheme val="minor"/>
    </font>
    <font>
      <b/>
      <sz val="12"/>
      <name val="Calibri"/>
      <family val="2"/>
      <scheme val="minor"/>
    </font>
    <font>
      <sz val="10"/>
      <name val="MS Sans Serif"/>
      <family val="2"/>
    </font>
    <font>
      <b/>
      <sz val="14"/>
      <name val="Calibri"/>
      <family val="2"/>
      <scheme val="minor"/>
    </font>
    <font>
      <sz val="12"/>
      <name val="Arial"/>
      <family val="2"/>
    </font>
    <font>
      <sz val="10"/>
      <name val="Arial"/>
      <family val="2"/>
    </font>
    <font>
      <b/>
      <sz val="18"/>
      <name val="Arial"/>
      <family val="2"/>
    </font>
    <font>
      <b/>
      <sz val="12"/>
      <name val="Arial"/>
      <family val="2"/>
    </font>
    <font>
      <sz val="10"/>
      <name val="Arial"/>
      <family val="2"/>
    </font>
    <font>
      <sz val="11"/>
      <color theme="1"/>
      <name val="Calibri"/>
      <family val="2"/>
      <scheme val="minor"/>
    </font>
    <font>
      <i/>
      <sz val="11"/>
      <color theme="1"/>
      <name val="Calibri"/>
      <family val="2"/>
      <scheme val="minor"/>
    </font>
    <font>
      <b/>
      <sz val="12"/>
      <color theme="1"/>
      <name val="Calibri"/>
      <family val="2"/>
      <scheme val="minor"/>
    </font>
    <font>
      <sz val="10"/>
      <name val="Calibri"/>
      <family val="2"/>
    </font>
    <font>
      <b/>
      <i/>
      <sz val="11"/>
      <color theme="1"/>
      <name val="Calibri"/>
      <family val="2"/>
      <scheme val="minor"/>
    </font>
    <font>
      <b/>
      <sz val="14"/>
      <color theme="1"/>
      <name val="Calibri"/>
      <family val="2"/>
      <scheme val="minor"/>
    </font>
    <font>
      <i/>
      <sz val="10"/>
      <color theme="1"/>
      <name val="Calibri"/>
      <family val="2"/>
      <scheme val="minor"/>
    </font>
    <font>
      <b/>
      <sz val="10"/>
      <color theme="1"/>
      <name val="Calibri"/>
      <family val="2"/>
      <scheme val="minor"/>
    </font>
    <font>
      <sz val="12"/>
      <name val="Times New Roman"/>
      <family val="1"/>
    </font>
    <font>
      <sz val="10"/>
      <name val="Times New Roman"/>
      <family val="1"/>
    </font>
    <font>
      <sz val="8"/>
      <name val="Times New Roman"/>
      <family val="1"/>
    </font>
    <font>
      <sz val="6"/>
      <name val="Times New Roman"/>
      <family val="1"/>
    </font>
    <font>
      <sz val="24"/>
      <name val="Arial"/>
      <family val="2"/>
    </font>
    <font>
      <sz val="14"/>
      <name val="Arial"/>
      <family val="2"/>
    </font>
    <font>
      <u/>
      <sz val="10"/>
      <color theme="10"/>
      <name val="Arial"/>
      <family val="2"/>
    </font>
    <font>
      <sz val="11"/>
      <color rgb="FFFF0000"/>
      <name val="Calibri"/>
      <family val="2"/>
      <scheme val="minor"/>
    </font>
    <font>
      <sz val="10"/>
      <color rgb="FFFF0000"/>
      <name val="Calibri"/>
      <family val="2"/>
      <scheme val="minor"/>
    </font>
    <font>
      <b/>
      <sz val="11"/>
      <color rgb="FFFF0000"/>
      <name val="Calibri"/>
      <family val="2"/>
      <scheme val="minor"/>
    </font>
    <font>
      <b/>
      <sz val="10"/>
      <color rgb="FFFF0000"/>
      <name val="Calibri"/>
      <family val="2"/>
      <scheme val="minor"/>
    </font>
    <font>
      <sz val="9"/>
      <color indexed="81"/>
      <name val="Tahoma"/>
      <family val="2"/>
    </font>
    <font>
      <b/>
      <sz val="9"/>
      <color indexed="81"/>
      <name val="Tahoma"/>
      <family val="2"/>
    </font>
    <font>
      <sz val="10"/>
      <color rgb="FF3E3E3E"/>
      <name val="Verdana"/>
      <family val="2"/>
    </font>
    <font>
      <sz val="10"/>
      <color rgb="FF0000FF"/>
      <name val="Calibri"/>
      <family val="2"/>
      <scheme val="minor"/>
    </font>
    <font>
      <b/>
      <sz val="10"/>
      <color rgb="FF0000FF"/>
      <name val="Calibri"/>
      <family val="2"/>
      <scheme val="minor"/>
    </font>
    <font>
      <sz val="11"/>
      <color rgb="FF9C6500"/>
      <name val="Calibri"/>
      <family val="2"/>
      <scheme val="minor"/>
    </font>
    <font>
      <sz val="10"/>
      <color rgb="FFFF0000"/>
      <name val="Calibri"/>
      <family val="2"/>
    </font>
    <font>
      <sz val="10"/>
      <color theme="1"/>
      <name val="Arial"/>
      <family val="2"/>
    </font>
    <font>
      <b/>
      <sz val="11"/>
      <color rgb="FF002060"/>
      <name val="Calibri"/>
      <family val="2"/>
      <scheme val="minor"/>
    </font>
    <font>
      <sz val="10"/>
      <color rgb="FF002060"/>
      <name val="Calibri"/>
      <family val="2"/>
      <scheme val="minor"/>
    </font>
    <font>
      <sz val="11"/>
      <color rgb="FF002060"/>
      <name val="Calibri"/>
      <family val="2"/>
      <scheme val="minor"/>
    </font>
    <font>
      <b/>
      <i/>
      <sz val="10"/>
      <name val="Calibri"/>
      <family val="2"/>
      <scheme val="minor"/>
    </font>
    <font>
      <i/>
      <sz val="11"/>
      <name val="Calibri"/>
      <family val="2"/>
      <scheme val="minor"/>
    </font>
    <font>
      <sz val="8"/>
      <color theme="1"/>
      <name val="Verdana"/>
      <family val="2"/>
    </font>
    <font>
      <sz val="8.5"/>
      <color theme="1"/>
      <name val="Verdana"/>
      <family val="2"/>
    </font>
    <font>
      <b/>
      <sz val="10"/>
      <name val="Arial"/>
      <family val="2"/>
    </font>
    <font>
      <sz val="8.5"/>
      <color rgb="FF006100"/>
      <name val="Verdana"/>
      <family val="2"/>
    </font>
    <font>
      <sz val="8.5"/>
      <color rgb="FF9C0006"/>
      <name val="Verdana"/>
      <family val="2"/>
    </font>
    <font>
      <sz val="8.5"/>
      <color rgb="FF9C6500"/>
      <name val="Verdana"/>
      <family val="2"/>
    </font>
    <font>
      <sz val="8.5"/>
      <color rgb="FF3F3F76"/>
      <name val="Verdana"/>
      <family val="2"/>
    </font>
    <font>
      <b/>
      <sz val="8.5"/>
      <color rgb="FF3F3F3F"/>
      <name val="Verdana"/>
      <family val="2"/>
    </font>
    <font>
      <b/>
      <sz val="8.5"/>
      <color rgb="FFFA7D00"/>
      <name val="Verdana"/>
      <family val="2"/>
    </font>
    <font>
      <sz val="8.5"/>
      <color rgb="FFFA7D00"/>
      <name val="Verdana"/>
      <family val="2"/>
    </font>
    <font>
      <b/>
      <sz val="8.5"/>
      <color theme="0"/>
      <name val="Verdana"/>
      <family val="2"/>
    </font>
    <font>
      <sz val="8.5"/>
      <color rgb="FFFF0000"/>
      <name val="Verdana"/>
      <family val="2"/>
    </font>
    <font>
      <i/>
      <sz val="8.5"/>
      <color rgb="FF7F7F7F"/>
      <name val="Verdana"/>
      <family val="2"/>
    </font>
    <font>
      <sz val="8.5"/>
      <color theme="0"/>
      <name val="Verdana"/>
      <family val="2"/>
    </font>
    <font>
      <sz val="8"/>
      <color rgb="FF000000"/>
      <name val="Verdana"/>
      <family val="2"/>
    </font>
    <font>
      <sz val="11"/>
      <color theme="0"/>
      <name val="Calibri"/>
      <family val="2"/>
      <scheme val="minor"/>
    </font>
    <font>
      <sz val="11"/>
      <color indexed="20"/>
      <name val="Calibri"/>
      <family val="2"/>
    </font>
    <font>
      <b/>
      <sz val="11"/>
      <color rgb="FFFA7D00"/>
      <name val="Calibri"/>
      <family val="2"/>
      <scheme val="minor"/>
    </font>
    <font>
      <sz val="8"/>
      <name val="Arial"/>
      <family val="2"/>
    </font>
    <font>
      <b/>
      <sz val="8"/>
      <color indexed="8"/>
      <name val="MS Sans Serif"/>
      <family val="2"/>
    </font>
    <font>
      <sz val="11"/>
      <name val="µ¸¿ò"/>
      <charset val="129"/>
    </font>
    <font>
      <b/>
      <sz val="11"/>
      <color indexed="52"/>
      <name val="Calibri"/>
      <family val="2"/>
    </font>
    <font>
      <b/>
      <sz val="11"/>
      <color indexed="9"/>
      <name val="Calibri"/>
      <family val="2"/>
    </font>
    <font>
      <sz val="8"/>
      <color indexed="8"/>
      <name val="MS Sans Serif"/>
      <family val="2"/>
    </font>
    <font>
      <b/>
      <u/>
      <sz val="8.5"/>
      <color indexed="8"/>
      <name val="MS Sans Serif"/>
      <family val="2"/>
    </font>
    <font>
      <b/>
      <sz val="8.5"/>
      <color indexed="12"/>
      <name val="MS Sans Serif"/>
      <family val="2"/>
    </font>
    <font>
      <b/>
      <sz val="8"/>
      <color indexed="12"/>
      <name val="Arial"/>
      <family val="2"/>
    </font>
    <font>
      <b/>
      <sz val="11"/>
      <color theme="0"/>
      <name val="Calibri"/>
      <family val="2"/>
      <scheme val="minor"/>
    </font>
    <font>
      <sz val="10"/>
      <color indexed="8"/>
      <name val="MS Sans Serif"/>
      <family val="2"/>
    </font>
    <font>
      <b/>
      <sz val="12"/>
      <color indexed="12"/>
      <name val="Bookman"/>
      <family val="1"/>
    </font>
    <font>
      <b/>
      <i/>
      <u/>
      <sz val="10"/>
      <color indexed="10"/>
      <name val="Bookman"/>
      <family val="1"/>
    </font>
    <font>
      <sz val="8.5"/>
      <color indexed="8"/>
      <name val="MS Sans Serif"/>
      <family val="2"/>
    </font>
    <font>
      <i/>
      <sz val="11"/>
      <color indexed="23"/>
      <name val="Calibri"/>
      <family val="2"/>
    </font>
    <font>
      <sz val="8"/>
      <color indexed="8"/>
      <name val="Arial"/>
      <family val="2"/>
    </font>
    <font>
      <sz val="10"/>
      <color indexed="8"/>
      <name val="Arial"/>
      <family val="2"/>
      <charset val="238"/>
    </font>
    <font>
      <sz val="11"/>
      <color rgb="FFFA7D00"/>
      <name val="Calibri"/>
      <family val="2"/>
      <scheme val="minor"/>
    </font>
    <font>
      <sz val="11"/>
      <color rgb="FF006100"/>
      <name val="Calibri"/>
      <family val="2"/>
      <scheme val="minor"/>
    </font>
    <font>
      <sz val="11"/>
      <color indexed="17"/>
      <name val="Calibri"/>
      <family val="2"/>
    </font>
    <font>
      <b/>
      <sz val="10"/>
      <color indexed="8"/>
      <name val="MS Sans Serif"/>
      <family val="2"/>
    </font>
    <font>
      <b/>
      <sz val="8"/>
      <name val="Arial"/>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u/>
      <sz val="10"/>
      <color indexed="20"/>
      <name val="Arial"/>
      <family val="2"/>
    </font>
    <font>
      <sz val="11"/>
      <color indexed="62"/>
      <name val="Calibri"/>
      <family val="2"/>
    </font>
    <font>
      <sz val="11"/>
      <color rgb="FF3F3F76"/>
      <name val="Calibri"/>
      <family val="2"/>
      <scheme val="minor"/>
    </font>
    <font>
      <b/>
      <sz val="8.5"/>
      <color indexed="8"/>
      <name val="MS Sans Serif"/>
      <family val="2"/>
    </font>
    <font>
      <sz val="10"/>
      <name val="Helv"/>
    </font>
    <font>
      <b/>
      <sz val="15"/>
      <color theme="3"/>
      <name val="Calibri"/>
      <family val="2"/>
      <scheme val="minor"/>
    </font>
    <font>
      <b/>
      <sz val="13"/>
      <color theme="3"/>
      <name val="Calibri"/>
      <family val="2"/>
      <scheme val="minor"/>
    </font>
    <font>
      <b/>
      <sz val="11"/>
      <color theme="3"/>
      <name val="Calibri"/>
      <family val="2"/>
      <scheme val="minor"/>
    </font>
    <font>
      <sz val="8"/>
      <name val="Arial"/>
      <family val="2"/>
      <charset val="238"/>
    </font>
    <font>
      <sz val="11"/>
      <color indexed="52"/>
      <name val="Calibri"/>
      <family val="2"/>
    </font>
    <font>
      <sz val="11"/>
      <color indexed="60"/>
      <name val="Calibri"/>
      <family val="2"/>
    </font>
    <font>
      <sz val="10"/>
      <color indexed="8"/>
      <name val="Arial"/>
      <family val="2"/>
    </font>
    <font>
      <sz val="11"/>
      <color rgb="FF9C0006"/>
      <name val="Calibri"/>
      <family val="2"/>
      <scheme val="minor"/>
    </font>
    <font>
      <b/>
      <sz val="11"/>
      <color indexed="63"/>
      <name val="Calibri"/>
      <family val="2"/>
    </font>
    <font>
      <sz val="9"/>
      <color theme="1"/>
      <name val="Verdana"/>
      <family val="2"/>
    </font>
    <font>
      <b/>
      <u/>
      <sz val="10"/>
      <color indexed="8"/>
      <name val="MS Sans Serif"/>
      <family val="2"/>
    </font>
    <font>
      <sz val="7.5"/>
      <color indexed="8"/>
      <name val="MS Sans Serif"/>
      <family val="2"/>
    </font>
    <font>
      <b/>
      <sz val="12"/>
      <color indexed="8"/>
      <name val="Arial"/>
      <family val="2"/>
    </font>
    <font>
      <b/>
      <sz val="10"/>
      <color indexed="8"/>
      <name val="Arial"/>
      <family val="2"/>
    </font>
    <font>
      <b/>
      <i/>
      <sz val="12"/>
      <color indexed="8"/>
      <name val="Arial"/>
      <family val="2"/>
    </font>
    <font>
      <b/>
      <sz val="10"/>
      <color indexed="39"/>
      <name val="Arial"/>
      <family val="2"/>
    </font>
    <font>
      <sz val="12"/>
      <color indexed="8"/>
      <name val="Arial"/>
      <family val="2"/>
    </font>
    <font>
      <i/>
      <sz val="12"/>
      <color indexed="8"/>
      <name val="Arial"/>
      <family val="2"/>
    </font>
    <font>
      <sz val="10"/>
      <color indexed="39"/>
      <name val="Arial"/>
      <family val="2"/>
    </font>
    <font>
      <sz val="19"/>
      <color indexed="48"/>
      <name val="Arial"/>
      <family val="2"/>
    </font>
    <font>
      <sz val="12"/>
      <color indexed="14"/>
      <name val="Arial"/>
      <family val="2"/>
    </font>
    <font>
      <sz val="10"/>
      <color indexed="10"/>
      <name val="Arial"/>
      <family val="2"/>
    </font>
    <font>
      <sz val="11"/>
      <color indexed="8"/>
      <name val="Calibri"/>
      <family val="2"/>
    </font>
    <font>
      <b/>
      <sz val="14"/>
      <name val="Helv"/>
    </font>
    <font>
      <b/>
      <sz val="12"/>
      <name val="Helv"/>
    </font>
    <font>
      <b/>
      <sz val="18"/>
      <color indexed="56"/>
      <name val="Cambria"/>
      <family val="2"/>
    </font>
    <font>
      <b/>
      <sz val="11"/>
      <color rgb="FF3F3F3F"/>
      <name val="Calibri"/>
      <family val="2"/>
      <scheme val="minor"/>
    </font>
    <font>
      <i/>
      <sz val="11"/>
      <color rgb="FF7F7F7F"/>
      <name val="Calibri"/>
      <family val="2"/>
      <scheme val="minor"/>
    </font>
    <font>
      <sz val="11"/>
      <color indexed="10"/>
      <name val="Calibri"/>
      <family val="2"/>
    </font>
    <font>
      <sz val="10"/>
      <color theme="1"/>
      <name val="Calibri"/>
      <family val="2"/>
    </font>
    <font>
      <b/>
      <sz val="10"/>
      <name val="Calibri"/>
      <family val="2"/>
    </font>
    <font>
      <b/>
      <u/>
      <sz val="11"/>
      <color theme="1"/>
      <name val="Calibri"/>
      <family val="2"/>
      <scheme val="minor"/>
    </font>
    <font>
      <b/>
      <sz val="10"/>
      <color theme="1"/>
      <name val="Arial"/>
      <family val="2"/>
    </font>
    <font>
      <b/>
      <i/>
      <sz val="10"/>
      <color theme="1"/>
      <name val="Arial"/>
      <family val="2"/>
    </font>
    <font>
      <u/>
      <sz val="10"/>
      <color theme="10"/>
      <name val="Calibri"/>
      <family val="2"/>
      <scheme val="minor"/>
    </font>
    <font>
      <u/>
      <sz val="11"/>
      <color theme="1"/>
      <name val="Calibri"/>
      <family val="2"/>
      <scheme val="minor"/>
    </font>
  </fonts>
  <fills count="77">
    <fill>
      <patternFill patternType="none"/>
    </fill>
    <fill>
      <patternFill patternType="gray125"/>
    </fill>
    <fill>
      <patternFill patternType="solid">
        <fgColor theme="9" tint="0.59999389629810485"/>
        <bgColor indexed="64"/>
      </patternFill>
    </fill>
    <fill>
      <patternFill patternType="solid">
        <fgColor rgb="FFFFEB9C"/>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5"/>
      </patternFill>
    </fill>
    <fill>
      <patternFill patternType="solid">
        <fgColor indexed="31"/>
        <bgColor indexed="64"/>
      </patternFill>
    </fill>
    <fill>
      <patternFill patternType="solid">
        <fgColor indexed="44"/>
        <bgColor indexed="8"/>
      </patternFill>
    </fill>
    <fill>
      <patternFill patternType="solid">
        <fgColor indexed="22"/>
      </patternFill>
    </fill>
    <fill>
      <patternFill patternType="solid">
        <fgColor indexed="55"/>
      </patternFill>
    </fill>
    <fill>
      <patternFill patternType="solid">
        <fgColor indexed="10"/>
        <bgColor indexed="8"/>
      </patternFill>
    </fill>
    <fill>
      <patternFill patternType="solid">
        <fgColor indexed="22"/>
        <bgColor indexed="64"/>
      </patternFill>
    </fill>
    <fill>
      <patternFill patternType="solid">
        <fgColor indexed="22"/>
        <bgColor indexed="10"/>
      </patternFill>
    </fill>
    <fill>
      <patternFill patternType="solid">
        <fgColor indexed="9"/>
        <bgColor indexed="8"/>
      </patternFill>
    </fill>
    <fill>
      <patternFill patternType="solid">
        <fgColor indexed="9"/>
        <bgColor indexed="64"/>
      </patternFill>
    </fill>
    <fill>
      <patternFill patternType="solid">
        <fgColor indexed="42"/>
      </patternFill>
    </fill>
    <fill>
      <patternFill patternType="solid">
        <fgColor indexed="10"/>
        <bgColor indexed="64"/>
      </patternFill>
    </fill>
    <fill>
      <patternFill patternType="solid">
        <fgColor indexed="22"/>
        <bgColor indexed="8"/>
      </patternFill>
    </fill>
    <fill>
      <patternFill patternType="solid">
        <fgColor indexed="47"/>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54"/>
        <bgColor indexed="64"/>
      </patternFill>
    </fill>
    <fill>
      <patternFill patternType="solid">
        <fgColor indexed="40"/>
        <bgColor indexed="64"/>
      </patternFill>
    </fill>
    <fill>
      <patternFill patternType="solid">
        <fgColor indexed="45"/>
        <bgColor indexed="64"/>
      </patternFill>
    </fill>
    <fill>
      <patternFill patternType="solid">
        <fgColor indexed="29"/>
      </patternFill>
    </fill>
    <fill>
      <patternFill patternType="solid">
        <fgColor indexed="29"/>
        <bgColor indexed="64"/>
      </patternFill>
    </fill>
    <fill>
      <patternFill patternType="solid">
        <fgColor indexed="10"/>
      </patternFill>
    </fill>
    <fill>
      <patternFill patternType="solid">
        <fgColor indexed="42"/>
        <bgColor indexed="64"/>
      </patternFill>
    </fill>
    <fill>
      <patternFill patternType="solid">
        <fgColor indexed="51"/>
      </patternFill>
    </fill>
    <fill>
      <patternFill patternType="solid">
        <fgColor indexed="51"/>
        <bgColor indexed="64"/>
      </patternFill>
    </fill>
    <fill>
      <patternFill patternType="solid">
        <fgColor indexed="52"/>
      </patternFill>
    </fill>
    <fill>
      <patternFill patternType="solid">
        <fgColor indexed="47"/>
        <bgColor indexed="64"/>
      </patternFill>
    </fill>
    <fill>
      <patternFill patternType="solid">
        <fgColor indexed="53"/>
      </patternFill>
    </fill>
    <fill>
      <patternFill patternType="solid">
        <fgColor indexed="50"/>
        <bgColor indexed="64"/>
      </patternFill>
    </fill>
    <fill>
      <patternFill patternType="solid">
        <fgColor indexed="57"/>
      </patternFill>
    </fill>
    <fill>
      <patternFill patternType="solid">
        <fgColor indexed="57"/>
        <bgColor indexed="64"/>
      </patternFill>
    </fill>
    <fill>
      <patternFill patternType="solid">
        <fgColor indexed="50"/>
      </patternFill>
    </fill>
    <fill>
      <patternFill patternType="solid">
        <fgColor indexed="21"/>
        <bgColor indexed="64"/>
      </patternFill>
    </fill>
    <fill>
      <patternFill patternType="solid">
        <fgColor indexed="11"/>
      </patternFill>
    </fill>
    <fill>
      <patternFill patternType="lightUp">
        <fgColor indexed="48"/>
        <bgColor indexed="44"/>
      </patternFill>
    </fill>
    <fill>
      <patternFill patternType="lightUp">
        <fgColor indexed="48"/>
        <bgColor indexed="41"/>
      </patternFill>
    </fill>
    <fill>
      <patternFill patternType="solid">
        <fgColor indexed="44"/>
        <bgColor indexed="64"/>
      </patternFill>
    </fill>
    <fill>
      <patternFill patternType="solid">
        <fgColor indexed="41"/>
      </patternFill>
    </fill>
    <fill>
      <patternFill patternType="solid">
        <fgColor indexed="41"/>
        <bgColor indexed="64"/>
      </patternFill>
    </fill>
    <fill>
      <patternFill patternType="solid">
        <fgColor indexed="26"/>
        <bgColor indexed="64"/>
      </patternFill>
    </fill>
    <fill>
      <patternFill patternType="solid">
        <fgColor indexed="15"/>
        <bgColor indexed="64"/>
      </patternFill>
    </fill>
    <fill>
      <patternFill patternType="solid">
        <fgColor indexed="44"/>
        <bgColor indexed="10"/>
      </patternFill>
    </fill>
  </fills>
  <borders count="35">
    <border>
      <left/>
      <right/>
      <top/>
      <bottom/>
      <diagonal/>
    </border>
    <border>
      <left/>
      <right/>
      <top style="thin">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style="thin">
        <color indexed="8"/>
      </right>
      <top style="thin">
        <color indexed="8"/>
      </top>
      <bottom style="thin">
        <color indexed="8"/>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8"/>
      </left>
      <right/>
      <top style="thin">
        <color indexed="8"/>
      </top>
      <bottom style="thin">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thick">
        <color indexed="63"/>
      </top>
      <bottom/>
      <diagonal/>
    </border>
    <border>
      <left/>
      <right/>
      <top style="double">
        <color indexed="64"/>
      </top>
      <bottom/>
      <diagonal/>
    </border>
  </borders>
  <cellStyleXfs count="450">
    <xf numFmtId="0" fontId="0" fillId="0" borderId="0"/>
    <xf numFmtId="0" fontId="9" fillId="0" borderId="0"/>
    <xf numFmtId="0" fontId="11" fillId="0" borderId="0" applyNumberFormat="0" applyFill="0" applyBorder="0" applyAlignment="0" applyProtection="0"/>
    <xf numFmtId="0" fontId="12" fillId="0" borderId="0"/>
    <xf numFmtId="2" fontId="11" fillId="0" borderId="0" applyFill="0" applyBorder="0" applyAlignment="0" applyProtection="0"/>
    <xf numFmtId="168" fontId="11" fillId="0" borderId="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166" fontId="11" fillId="0" borderId="0" applyFill="0" applyBorder="0" applyAlignment="0" applyProtection="0"/>
    <xf numFmtId="167" fontId="11" fillId="0" borderId="0" applyFill="0" applyBorder="0" applyAlignment="0" applyProtection="0"/>
    <xf numFmtId="167" fontId="11" fillId="0" borderId="0" applyFill="0" applyBorder="0" applyProtection="0">
      <alignment horizontal="right"/>
    </xf>
    <xf numFmtId="0" fontId="11" fillId="0" borderId="1" applyNumberFormat="0" applyFill="0" applyAlignment="0" applyProtection="0"/>
    <xf numFmtId="0" fontId="15" fillId="0" borderId="0"/>
    <xf numFmtId="170" fontId="12" fillId="0" borderId="0" applyFont="0" applyFill="0" applyBorder="0" applyAlignment="0" applyProtection="0"/>
    <xf numFmtId="9" fontId="12" fillId="0" borderId="0" applyFont="0" applyFill="0" applyBorder="0" applyAlignment="0" applyProtection="0"/>
    <xf numFmtId="0" fontId="12" fillId="0" borderId="0"/>
    <xf numFmtId="171" fontId="24" fillId="0" borderId="0" applyProtection="0"/>
    <xf numFmtId="171" fontId="11" fillId="0" borderId="0"/>
    <xf numFmtId="171" fontId="29" fillId="0" borderId="0" applyProtection="0"/>
    <xf numFmtId="171" fontId="27" fillId="0" borderId="0" applyProtection="0"/>
    <xf numFmtId="171" fontId="26" fillId="0" borderId="0" applyProtection="0"/>
    <xf numFmtId="171" fontId="25" fillId="0" borderId="0" applyProtection="0"/>
    <xf numFmtId="171" fontId="11" fillId="0" borderId="0" applyProtection="0"/>
    <xf numFmtId="171" fontId="28" fillId="0" borderId="0" applyProtection="0"/>
    <xf numFmtId="0" fontId="12" fillId="0" borderId="0"/>
    <xf numFmtId="0" fontId="1" fillId="0" borderId="0"/>
    <xf numFmtId="0" fontId="12" fillId="0" borderId="0"/>
    <xf numFmtId="0" fontId="30" fillId="0" borderId="0" applyNumberFormat="0" applyFill="0" applyBorder="0" applyAlignment="0" applyProtection="0"/>
    <xf numFmtId="0" fontId="1" fillId="0" borderId="0"/>
    <xf numFmtId="0" fontId="40" fillId="3" borderId="0" applyNumberFormat="0" applyBorder="0" applyAlignment="0" applyProtection="0"/>
    <xf numFmtId="9" fontId="1" fillId="0" borderId="0" applyFont="0" applyFill="0" applyBorder="0" applyAlignment="0" applyProtection="0"/>
    <xf numFmtId="43" fontId="42" fillId="0" borderId="0" applyFont="0" applyFill="0" applyBorder="0" applyAlignment="0" applyProtection="0"/>
    <xf numFmtId="43" fontId="12" fillId="0" borderId="0" applyFont="0" applyFill="0" applyBorder="0" applyAlignment="0" applyProtection="0"/>
    <xf numFmtId="0" fontId="12" fillId="0" borderId="0"/>
    <xf numFmtId="0" fontId="1" fillId="0" borderId="0"/>
    <xf numFmtId="0" fontId="12" fillId="0" borderId="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63" fillId="13" borderId="0" applyNumberFormat="0" applyBorder="0" applyAlignment="0" applyProtection="0"/>
    <xf numFmtId="0" fontId="61" fillId="13" borderId="0" applyNumberFormat="0" applyBorder="0" applyAlignment="0" applyProtection="0"/>
    <xf numFmtId="0" fontId="63" fillId="17" borderId="0" applyNumberFormat="0" applyBorder="0" applyAlignment="0" applyProtection="0"/>
    <xf numFmtId="0" fontId="61" fillId="17" borderId="0" applyNumberFormat="0" applyBorder="0" applyAlignment="0" applyProtection="0"/>
    <xf numFmtId="0" fontId="63" fillId="21" borderId="0" applyNumberFormat="0" applyBorder="0" applyAlignment="0" applyProtection="0"/>
    <xf numFmtId="0" fontId="61" fillId="21" borderId="0" applyNumberFormat="0" applyBorder="0" applyAlignment="0" applyProtection="0"/>
    <xf numFmtId="0" fontId="63" fillId="25" borderId="0" applyNumberFormat="0" applyBorder="0" applyAlignment="0" applyProtection="0"/>
    <xf numFmtId="0" fontId="61" fillId="25" borderId="0" applyNumberFormat="0" applyBorder="0" applyAlignment="0" applyProtection="0"/>
    <xf numFmtId="0" fontId="63" fillId="29" borderId="0" applyNumberFormat="0" applyBorder="0" applyAlignment="0" applyProtection="0"/>
    <xf numFmtId="0" fontId="61" fillId="29" borderId="0" applyNumberFormat="0" applyBorder="0" applyAlignment="0" applyProtection="0"/>
    <xf numFmtId="0" fontId="63" fillId="33" borderId="0" applyNumberFormat="0" applyBorder="0" applyAlignment="0" applyProtection="0"/>
    <xf numFmtId="0" fontId="61" fillId="33" borderId="0" applyNumberFormat="0" applyBorder="0" applyAlignment="0" applyProtection="0"/>
    <xf numFmtId="0" fontId="63" fillId="10" borderId="0" applyNumberFormat="0" applyBorder="0" applyAlignment="0" applyProtection="0"/>
    <xf numFmtId="0" fontId="61" fillId="10" borderId="0" applyNumberFormat="0" applyBorder="0" applyAlignment="0" applyProtection="0"/>
    <xf numFmtId="0" fontId="63" fillId="14" borderId="0" applyNumberFormat="0" applyBorder="0" applyAlignment="0" applyProtection="0"/>
    <xf numFmtId="0" fontId="61" fillId="14" borderId="0" applyNumberFormat="0" applyBorder="0" applyAlignment="0" applyProtection="0"/>
    <xf numFmtId="0" fontId="63" fillId="18" borderId="0" applyNumberFormat="0" applyBorder="0" applyAlignment="0" applyProtection="0"/>
    <xf numFmtId="0" fontId="61" fillId="18" borderId="0" applyNumberFormat="0" applyBorder="0" applyAlignment="0" applyProtection="0"/>
    <xf numFmtId="0" fontId="63" fillId="22" borderId="0" applyNumberFormat="0" applyBorder="0" applyAlignment="0" applyProtection="0"/>
    <xf numFmtId="0" fontId="61" fillId="22" borderId="0" applyNumberFormat="0" applyBorder="0" applyAlignment="0" applyProtection="0"/>
    <xf numFmtId="0" fontId="63" fillId="26" borderId="0" applyNumberFormat="0" applyBorder="0" applyAlignment="0" applyProtection="0"/>
    <xf numFmtId="0" fontId="61" fillId="26" borderId="0" applyNumberFormat="0" applyBorder="0" applyAlignment="0" applyProtection="0"/>
    <xf numFmtId="0" fontId="63" fillId="30" borderId="0" applyNumberFormat="0" applyBorder="0" applyAlignment="0" applyProtection="0"/>
    <xf numFmtId="0" fontId="61" fillId="30" borderId="0" applyNumberFormat="0" applyBorder="0" applyAlignment="0" applyProtection="0"/>
    <xf numFmtId="0" fontId="64" fillId="34" borderId="0" applyNumberFormat="0" applyBorder="0" applyAlignment="0" applyProtection="0"/>
    <xf numFmtId="2" fontId="11" fillId="0" borderId="0" applyProtection="0"/>
    <xf numFmtId="0" fontId="65" fillId="7" borderId="5" applyNumberFormat="0" applyAlignment="0" applyProtection="0"/>
    <xf numFmtId="0" fontId="56" fillId="7" borderId="5" applyNumberFormat="0" applyAlignment="0" applyProtection="0"/>
    <xf numFmtId="0" fontId="66" fillId="35" borderId="17"/>
    <xf numFmtId="0" fontId="67" fillId="36" borderId="18">
      <alignment horizontal="right" vertical="top" wrapText="1"/>
    </xf>
    <xf numFmtId="0" fontId="68" fillId="0" borderId="0"/>
    <xf numFmtId="0" fontId="69" fillId="37" borderId="19" applyNumberFormat="0" applyAlignment="0" applyProtection="0"/>
    <xf numFmtId="0" fontId="66" fillId="0" borderId="20"/>
    <xf numFmtId="0" fontId="70" fillId="38" borderId="21" applyNumberFormat="0" applyAlignment="0" applyProtection="0"/>
    <xf numFmtId="0" fontId="71" fillId="39" borderId="22">
      <alignment horizontal="left" vertical="top" wrapText="1"/>
    </xf>
    <xf numFmtId="0" fontId="72" fillId="40" borderId="0">
      <alignment horizontal="center"/>
    </xf>
    <xf numFmtId="0" fontId="73" fillId="40" borderId="0">
      <alignment horizontal="center" vertical="center"/>
    </xf>
    <xf numFmtId="0" fontId="12" fillId="41" borderId="0">
      <alignment horizontal="center" wrapText="1"/>
    </xf>
    <xf numFmtId="0" fontId="74" fillId="40" borderId="0">
      <alignment horizontal="center"/>
    </xf>
    <xf numFmtId="4" fontId="12" fillId="42" borderId="0" applyFont="0" applyFill="0" applyBorder="0" applyAlignment="0" applyProtection="0"/>
    <xf numFmtId="0" fontId="75" fillId="8" borderId="8" applyNumberFormat="0" applyAlignment="0" applyProtection="0"/>
    <xf numFmtId="0" fontId="58" fillId="8" borderId="8" applyNumberFormat="0" applyAlignment="0" applyProtection="0"/>
    <xf numFmtId="0" fontId="76" fillId="43" borderId="17" applyBorder="0">
      <protection locked="0"/>
    </xf>
    <xf numFmtId="173" fontId="12" fillId="0" borderId="0" applyFill="0" applyBorder="0" applyAlignment="0" applyProtection="0"/>
    <xf numFmtId="174" fontId="12" fillId="0" borderId="0" applyFill="0" applyBorder="0" applyAlignment="0" applyProtection="0"/>
    <xf numFmtId="41" fontId="25" fillId="0" borderId="0" applyFont="0" applyFill="0" applyBorder="0" applyAlignment="0" applyProtection="0"/>
    <xf numFmtId="43" fontId="25" fillId="0" borderId="0" applyFont="0" applyFill="0" applyBorder="0" applyAlignment="0" applyProtection="0"/>
    <xf numFmtId="0" fontId="77" fillId="0" borderId="0">
      <alignment horizontal="centerContinuous"/>
    </xf>
    <xf numFmtId="0" fontId="77" fillId="0" borderId="0" applyAlignment="0">
      <alignment horizontal="centerContinuous"/>
    </xf>
    <xf numFmtId="0" fontId="78" fillId="0" borderId="0" applyAlignment="0">
      <alignment horizontal="centerContinuous"/>
    </xf>
    <xf numFmtId="0" fontId="79" fillId="43" borderId="17">
      <protection locked="0"/>
    </xf>
    <xf numFmtId="0" fontId="12" fillId="43" borderId="20"/>
    <xf numFmtId="0" fontId="12" fillId="40" borderId="0"/>
    <xf numFmtId="170" fontId="12" fillId="0" borderId="0" applyFont="0" applyFill="0" applyBorder="0" applyAlignment="0" applyProtection="0"/>
    <xf numFmtId="0" fontId="80" fillId="0" borderId="0" applyNumberFormat="0" applyFill="0" applyBorder="0" applyAlignment="0" applyProtection="0"/>
    <xf numFmtId="3" fontId="29" fillId="0" borderId="0" applyFill="0" applyBorder="0" applyAlignment="0" applyProtection="0"/>
    <xf numFmtId="3" fontId="28" fillId="0" borderId="0" applyFill="0" applyBorder="0" applyAlignment="0" applyProtection="0"/>
    <xf numFmtId="3" fontId="27" fillId="0" borderId="0" applyFill="0" applyBorder="0" applyAlignment="0" applyProtection="0"/>
    <xf numFmtId="3" fontId="26" fillId="0" borderId="0" applyFill="0" applyBorder="0" applyAlignment="0" applyProtection="0"/>
    <xf numFmtId="3" fontId="25" fillId="0" borderId="0" applyFill="0" applyBorder="0" applyAlignment="0" applyProtection="0"/>
    <xf numFmtId="3" fontId="24" fillId="0" borderId="0" applyFill="0" applyBorder="0" applyAlignment="0" applyProtection="0"/>
    <xf numFmtId="3" fontId="11" fillId="0" borderId="0" applyFill="0" applyBorder="0" applyAlignment="0" applyProtection="0"/>
    <xf numFmtId="0" fontId="81" fillId="40" borderId="20">
      <alignment horizontal="left"/>
    </xf>
    <xf numFmtId="0" fontId="82" fillId="40" borderId="0">
      <alignment horizontal="left"/>
    </xf>
    <xf numFmtId="0" fontId="83" fillId="0" borderId="7" applyNumberFormat="0" applyFill="0" applyAlignment="0" applyProtection="0"/>
    <xf numFmtId="0" fontId="57" fillId="0" borderId="7" applyNumberFormat="0" applyFill="0" applyAlignment="0" applyProtection="0"/>
    <xf numFmtId="0" fontId="84" fillId="4" borderId="0" applyNumberFormat="0" applyBorder="0" applyAlignment="0" applyProtection="0"/>
    <xf numFmtId="0" fontId="51" fillId="4" borderId="0" applyNumberFormat="0" applyBorder="0" applyAlignment="0" applyProtection="0"/>
    <xf numFmtId="0" fontId="85" fillId="44" borderId="0" applyNumberFormat="0" applyBorder="0" applyAlignment="0" applyProtection="0"/>
    <xf numFmtId="0" fontId="86" fillId="45" borderId="0">
      <alignment horizontal="left" vertical="top"/>
    </xf>
    <xf numFmtId="0" fontId="67" fillId="46" borderId="0">
      <alignment horizontal="right" vertical="top" textRotation="90" wrapText="1"/>
    </xf>
    <xf numFmtId="0" fontId="87" fillId="0" borderId="0"/>
    <xf numFmtId="0" fontId="88" fillId="0" borderId="23" applyNumberFormat="0" applyFill="0" applyAlignment="0" applyProtection="0"/>
    <xf numFmtId="0" fontId="89" fillId="0" borderId="24" applyNumberFormat="0" applyFill="0" applyAlignment="0" applyProtection="0"/>
    <xf numFmtId="0" fontId="90" fillId="0" borderId="25" applyNumberFormat="0" applyFill="0" applyAlignment="0" applyProtection="0"/>
    <xf numFmtId="0" fontId="90" fillId="0" borderId="0" applyNumberFormat="0" applyFill="0" applyBorder="0" applyAlignment="0" applyProtection="0"/>
    <xf numFmtId="0" fontId="91" fillId="0" borderId="0" applyNumberFormat="0" applyFill="0" applyBorder="0" applyAlignment="0" applyProtection="0">
      <alignment vertical="top"/>
      <protection locked="0"/>
    </xf>
    <xf numFmtId="0" fontId="92" fillId="0" borderId="0" applyNumberFormat="0" applyFill="0" applyBorder="0" applyAlignment="0" applyProtection="0">
      <alignment vertical="top"/>
      <protection locked="0"/>
    </xf>
    <xf numFmtId="0" fontId="93" fillId="47" borderId="19" applyNumberFormat="0" applyAlignment="0" applyProtection="0"/>
    <xf numFmtId="0" fontId="94" fillId="6" borderId="5" applyNumberFormat="0" applyAlignment="0" applyProtection="0"/>
    <xf numFmtId="0" fontId="54" fillId="6" borderId="5" applyNumberFormat="0" applyAlignment="0" applyProtection="0"/>
    <xf numFmtId="0" fontId="50" fillId="41" borderId="0">
      <alignment horizontal="center"/>
    </xf>
    <xf numFmtId="0" fontId="12" fillId="40" borderId="20">
      <alignment horizontal="centerContinuous" wrapText="1"/>
    </xf>
    <xf numFmtId="0" fontId="95" fillId="45" borderId="0">
      <alignment horizontal="center" wrapText="1"/>
    </xf>
    <xf numFmtId="0" fontId="12" fillId="40" borderId="20">
      <alignment horizontal="centerContinuous" wrapText="1"/>
    </xf>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43" fontId="49"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2" fillId="0" borderId="0" applyFont="0" applyFill="0" applyBorder="0" applyAlignment="0" applyProtection="0"/>
    <xf numFmtId="175" fontId="12"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2" fillId="0" borderId="0" applyFont="0" applyFill="0" applyBorder="0" applyAlignment="0" applyProtection="0"/>
    <xf numFmtId="43" fontId="49"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43" fontId="49" fillId="0" borderId="0" applyFont="0" applyFill="0" applyBorder="0" applyAlignment="0" applyProtection="0"/>
    <xf numFmtId="175" fontId="1" fillId="0" borderId="0" applyFont="0" applyFill="0" applyBorder="0" applyAlignment="0" applyProtection="0"/>
    <xf numFmtId="43" fontId="49" fillId="0" borderId="0" applyFont="0" applyFill="0" applyBorder="0" applyAlignment="0" applyProtection="0"/>
    <xf numFmtId="43" fontId="1" fillId="0" borderId="0" applyFont="0" applyFill="0" applyBorder="0" applyAlignment="0" applyProtection="0"/>
    <xf numFmtId="43" fontId="49" fillId="0" borderId="0" applyFont="0" applyFill="0" applyBorder="0" applyAlignment="0" applyProtection="0"/>
    <xf numFmtId="43" fontId="1" fillId="0" borderId="0" applyFont="0" applyFill="0" applyBorder="0" applyAlignment="0" applyProtection="0"/>
    <xf numFmtId="3" fontId="12" fillId="0" borderId="0" applyFill="0" applyBorder="0" applyAlignment="0" applyProtection="0"/>
    <xf numFmtId="0" fontId="96" fillId="0" borderId="0"/>
    <xf numFmtId="3" fontId="12" fillId="42" borderId="0" applyFont="0" applyFill="0" applyBorder="0" applyAlignment="0" applyProtection="0"/>
    <xf numFmtId="3" fontId="12" fillId="0" borderId="0" applyFill="0" applyBorder="0" applyAlignment="0" applyProtection="0"/>
    <xf numFmtId="167" fontId="12" fillId="0" borderId="0" applyFill="0" applyBorder="0" applyAlignment="0" applyProtection="0"/>
    <xf numFmtId="0" fontId="96" fillId="0" borderId="0"/>
    <xf numFmtId="0" fontId="97" fillId="0" borderId="2" applyNumberFormat="0" applyFill="0" applyAlignment="0" applyProtection="0"/>
    <xf numFmtId="0" fontId="98" fillId="0" borderId="3" applyNumberFormat="0" applyFill="0" applyAlignment="0" applyProtection="0"/>
    <xf numFmtId="0" fontId="99" fillId="0" borderId="4" applyNumberFormat="0" applyFill="0" applyAlignment="0" applyProtection="0"/>
    <xf numFmtId="0" fontId="99" fillId="0" borderId="0" applyNumberFormat="0" applyFill="0" applyBorder="0" applyAlignment="0" applyProtection="0"/>
    <xf numFmtId="0" fontId="13" fillId="0" borderId="0" applyProtection="0"/>
    <xf numFmtId="0" fontId="14" fillId="0" borderId="0" applyProtection="0"/>
    <xf numFmtId="0" fontId="13" fillId="0" borderId="0" applyNumberFormat="0" applyFill="0" applyBorder="0" applyAlignment="0" applyProtection="0"/>
    <xf numFmtId="0" fontId="14" fillId="0" borderId="0" applyNumberFormat="0" applyFill="0" applyBorder="0" applyAlignment="0" applyProtection="0"/>
    <xf numFmtId="0" fontId="100" fillId="40" borderId="13">
      <alignment wrapText="1"/>
    </xf>
    <xf numFmtId="0" fontId="100" fillId="40" borderId="15"/>
    <xf numFmtId="0" fontId="100" fillId="40" borderId="11"/>
    <xf numFmtId="0" fontId="66" fillId="40" borderId="16">
      <alignment horizontal="center" wrapText="1"/>
    </xf>
    <xf numFmtId="0" fontId="71" fillId="39" borderId="26">
      <alignment horizontal="left" vertical="top" wrapText="1"/>
    </xf>
    <xf numFmtId="0" fontId="101" fillId="0" borderId="27" applyNumberFormat="0" applyFill="0" applyAlignment="0" applyProtection="0"/>
    <xf numFmtId="0" fontId="12" fillId="0" borderId="0" applyFont="0" applyFill="0" applyBorder="0" applyAlignment="0" applyProtection="0"/>
    <xf numFmtId="166" fontId="11" fillId="0" borderId="0" applyProtection="0"/>
    <xf numFmtId="0" fontId="40" fillId="3" borderId="0" applyNumberFormat="0" applyBorder="0" applyAlignment="0" applyProtection="0"/>
    <xf numFmtId="0" fontId="53" fillId="3" borderId="0" applyNumberFormat="0" applyBorder="0" applyAlignment="0" applyProtection="0"/>
    <xf numFmtId="0" fontId="102" fillId="48" borderId="0" applyNumberFormat="0" applyBorder="0" applyAlignment="0" applyProtection="0"/>
    <xf numFmtId="0" fontId="11" fillId="0" borderId="0" applyNumberFormat="0" applyFont="0" applyFill="0" applyBorder="0" applyAlignment="0" applyProtection="0"/>
    <xf numFmtId="0" fontId="12" fillId="0" borderId="0" applyNumberFormat="0" applyFill="0" applyBorder="0" applyAlignment="0" applyProtection="0"/>
    <xf numFmtId="0" fontId="12" fillId="0" borderId="0">
      <alignment vertical="top"/>
    </xf>
    <xf numFmtId="0" fontId="12" fillId="0" borderId="0"/>
    <xf numFmtId="0" fontId="103" fillId="0" borderId="0"/>
    <xf numFmtId="0" fontId="12" fillId="0" borderId="0"/>
    <xf numFmtId="0" fontId="12" fillId="49" borderId="28"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49" fillId="9" borderId="9" applyNumberFormat="0" applyFont="0" applyAlignment="0" applyProtection="0"/>
    <xf numFmtId="0" fontId="104" fillId="5" borderId="0" applyNumberFormat="0" applyBorder="0" applyAlignment="0" applyProtection="0"/>
    <xf numFmtId="0" fontId="52" fillId="5" borderId="0" applyNumberFormat="0" applyBorder="0" applyAlignment="0" applyProtection="0"/>
    <xf numFmtId="0" fontId="105" fillId="37" borderId="29" applyNumberFormat="0" applyAlignment="0" applyProtection="0"/>
    <xf numFmtId="0" fontId="96" fillId="0" borderId="0"/>
    <xf numFmtId="9" fontId="106" fillId="0" borderId="0" applyFont="0" applyFill="0" applyBorder="0" applyAlignment="0" applyProtection="0"/>
    <xf numFmtId="9" fontId="106" fillId="0" borderId="0" applyFont="0" applyFill="0" applyBorder="0" applyAlignment="0" applyProtection="0"/>
    <xf numFmtId="9" fontId="106"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NumberFormat="0" applyFont="0" applyFill="0" applyBorder="0" applyAlignment="0" applyProtection="0"/>
    <xf numFmtId="4" fontId="11" fillId="0" borderId="0" applyProtection="0"/>
    <xf numFmtId="0" fontId="66" fillId="40" borderId="20"/>
    <xf numFmtId="0" fontId="73" fillId="40" borderId="0">
      <alignment horizontal="right"/>
    </xf>
    <xf numFmtId="0" fontId="107" fillId="45" borderId="0">
      <alignment horizontal="center"/>
    </xf>
    <xf numFmtId="0" fontId="71" fillId="46" borderId="20">
      <alignment horizontal="left" vertical="top" wrapText="1"/>
    </xf>
    <xf numFmtId="0" fontId="108" fillId="46" borderId="12">
      <alignment horizontal="left" vertical="top" wrapText="1"/>
    </xf>
    <xf numFmtId="0" fontId="71" fillId="46" borderId="14">
      <alignment horizontal="left" vertical="top" wrapText="1"/>
    </xf>
    <xf numFmtId="0" fontId="71" fillId="46" borderId="12">
      <alignment horizontal="left" vertical="top"/>
    </xf>
    <xf numFmtId="4" fontId="109" fillId="50" borderId="30" applyNumberFormat="0" applyProtection="0">
      <alignment vertical="center"/>
    </xf>
    <xf numFmtId="4" fontId="110" fillId="48" borderId="30" applyNumberFormat="0" applyProtection="0">
      <alignment vertical="center"/>
    </xf>
    <xf numFmtId="4" fontId="110" fillId="48" borderId="30" applyNumberFormat="0" applyProtection="0">
      <alignment vertical="center"/>
    </xf>
    <xf numFmtId="4" fontId="109" fillId="50" borderId="30" applyNumberFormat="0" applyProtection="0">
      <alignment vertical="center"/>
    </xf>
    <xf numFmtId="4" fontId="111" fillId="50" borderId="30" applyNumberFormat="0" applyProtection="0">
      <alignment vertical="center"/>
    </xf>
    <xf numFmtId="4" fontId="111" fillId="50" borderId="30" applyNumberFormat="0" applyProtection="0">
      <alignment vertical="center"/>
    </xf>
    <xf numFmtId="4" fontId="112" fillId="50" borderId="30" applyNumberFormat="0" applyProtection="0">
      <alignment vertical="center"/>
    </xf>
    <xf numFmtId="4" fontId="111" fillId="50" borderId="30" applyNumberFormat="0" applyProtection="0">
      <alignment vertical="center"/>
    </xf>
    <xf numFmtId="4" fontId="113" fillId="50" borderId="30" applyNumberFormat="0" applyProtection="0">
      <alignment horizontal="left" vertical="center" indent="1"/>
    </xf>
    <xf numFmtId="4" fontId="113" fillId="50" borderId="30" applyNumberFormat="0" applyProtection="0">
      <alignment horizontal="left" vertical="center" indent="1"/>
    </xf>
    <xf numFmtId="4" fontId="110" fillId="50" borderId="30" applyNumberFormat="0" applyProtection="0">
      <alignment horizontal="left" vertical="center" indent="1"/>
    </xf>
    <xf numFmtId="4" fontId="113" fillId="50" borderId="30" applyNumberFormat="0" applyProtection="0">
      <alignment horizontal="left" vertical="center" indent="1"/>
    </xf>
    <xf numFmtId="0" fontId="110" fillId="50" borderId="30" applyNumberFormat="0" applyProtection="0">
      <alignment horizontal="left" vertical="top" indent="1"/>
    </xf>
    <xf numFmtId="0" fontId="12" fillId="0" borderId="0"/>
    <xf numFmtId="0" fontId="12" fillId="0" borderId="0"/>
    <xf numFmtId="4" fontId="113" fillId="51" borderId="0" applyNumberFormat="0" applyProtection="0">
      <alignment horizontal="left" vertical="center" indent="1"/>
    </xf>
    <xf numFmtId="4" fontId="113" fillId="52" borderId="0" applyNumberFormat="0" applyProtection="0">
      <alignment horizontal="left" vertical="center" indent="1"/>
    </xf>
    <xf numFmtId="4" fontId="113" fillId="51" borderId="0" applyNumberFormat="0" applyProtection="0">
      <alignment horizontal="left" vertical="center" indent="1"/>
    </xf>
    <xf numFmtId="4" fontId="113" fillId="52" borderId="0" applyNumberFormat="0" applyProtection="0">
      <alignment horizontal="left" vertical="center" indent="1"/>
    </xf>
    <xf numFmtId="4" fontId="113" fillId="51" borderId="0" applyNumberFormat="0" applyProtection="0">
      <alignment horizontal="left" vertical="center" indent="1"/>
    </xf>
    <xf numFmtId="4" fontId="113" fillId="51" borderId="0" applyNumberFormat="0" applyProtection="0">
      <alignment horizontal="left" vertical="center" indent="1"/>
    </xf>
    <xf numFmtId="4" fontId="113" fillId="52" borderId="0" applyNumberFormat="0" applyProtection="0">
      <alignment horizontal="left" vertical="center" indent="1"/>
    </xf>
    <xf numFmtId="4" fontId="113" fillId="45" borderId="30" applyNumberFormat="0" applyProtection="0">
      <alignment horizontal="right" vertical="center"/>
    </xf>
    <xf numFmtId="4" fontId="113" fillId="45" borderId="30" applyNumberFormat="0" applyProtection="0">
      <alignment horizontal="right" vertical="center"/>
    </xf>
    <xf numFmtId="4" fontId="103" fillId="34" borderId="30" applyNumberFormat="0" applyProtection="0">
      <alignment horizontal="right" vertical="center"/>
    </xf>
    <xf numFmtId="4" fontId="113" fillId="45" borderId="30" applyNumberFormat="0" applyProtection="0">
      <alignment horizontal="right" vertical="center"/>
    </xf>
    <xf numFmtId="4" fontId="113" fillId="53" borderId="30" applyNumberFormat="0" applyProtection="0">
      <alignment horizontal="right" vertical="center"/>
    </xf>
    <xf numFmtId="4" fontId="113" fillId="53" borderId="30" applyNumberFormat="0" applyProtection="0">
      <alignment horizontal="right" vertical="center"/>
    </xf>
    <xf numFmtId="4" fontId="103" fillId="54" borderId="30" applyNumberFormat="0" applyProtection="0">
      <alignment horizontal="right" vertical="center"/>
    </xf>
    <xf numFmtId="4" fontId="113" fillId="53" borderId="30" applyNumberFormat="0" applyProtection="0">
      <alignment horizontal="right" vertical="center"/>
    </xf>
    <xf numFmtId="4" fontId="113" fillId="55" borderId="30" applyNumberFormat="0" applyProtection="0">
      <alignment horizontal="right" vertical="center"/>
    </xf>
    <xf numFmtId="4" fontId="113" fillId="55" borderId="30" applyNumberFormat="0" applyProtection="0">
      <alignment horizontal="right" vertical="center"/>
    </xf>
    <xf numFmtId="4" fontId="103" fillId="56" borderId="30" applyNumberFormat="0" applyProtection="0">
      <alignment horizontal="right" vertical="center"/>
    </xf>
    <xf numFmtId="4" fontId="113" fillId="55" borderId="30" applyNumberFormat="0" applyProtection="0">
      <alignment horizontal="right" vertical="center"/>
    </xf>
    <xf numFmtId="4" fontId="113" fillId="57" borderId="30" applyNumberFormat="0" applyProtection="0">
      <alignment horizontal="right" vertical="center"/>
    </xf>
    <xf numFmtId="4" fontId="113" fillId="57" borderId="30" applyNumberFormat="0" applyProtection="0">
      <alignment horizontal="right" vertical="center"/>
    </xf>
    <xf numFmtId="4" fontId="103" fillId="58" borderId="30" applyNumberFormat="0" applyProtection="0">
      <alignment horizontal="right" vertical="center"/>
    </xf>
    <xf numFmtId="4" fontId="113" fillId="57" borderId="30" applyNumberFormat="0" applyProtection="0">
      <alignment horizontal="right" vertical="center"/>
    </xf>
    <xf numFmtId="4" fontId="113" fillId="59" borderId="30" applyNumberFormat="0" applyProtection="0">
      <alignment horizontal="right" vertical="center"/>
    </xf>
    <xf numFmtId="4" fontId="113" fillId="59" borderId="30" applyNumberFormat="0" applyProtection="0">
      <alignment horizontal="right" vertical="center"/>
    </xf>
    <xf numFmtId="4" fontId="103" fillId="60" borderId="30" applyNumberFormat="0" applyProtection="0">
      <alignment horizontal="right" vertical="center"/>
    </xf>
    <xf numFmtId="4" fontId="113" fillId="59" borderId="30" applyNumberFormat="0" applyProtection="0">
      <alignment horizontal="right" vertical="center"/>
    </xf>
    <xf numFmtId="4" fontId="113" fillId="61" borderId="30" applyNumberFormat="0" applyProtection="0">
      <alignment horizontal="right" vertical="center"/>
    </xf>
    <xf numFmtId="4" fontId="113" fillId="61" borderId="30" applyNumberFormat="0" applyProtection="0">
      <alignment horizontal="right" vertical="center"/>
    </xf>
    <xf numFmtId="4" fontId="103" fillId="62" borderId="30" applyNumberFormat="0" applyProtection="0">
      <alignment horizontal="right" vertical="center"/>
    </xf>
    <xf numFmtId="4" fontId="113" fillId="61" borderId="30" applyNumberFormat="0" applyProtection="0">
      <alignment horizontal="right" vertical="center"/>
    </xf>
    <xf numFmtId="4" fontId="113" fillId="63" borderId="30" applyNumberFormat="0" applyProtection="0">
      <alignment horizontal="right" vertical="center"/>
    </xf>
    <xf numFmtId="4" fontId="113" fillId="63" borderId="30" applyNumberFormat="0" applyProtection="0">
      <alignment horizontal="right" vertical="center"/>
    </xf>
    <xf numFmtId="4" fontId="103" fillId="64" borderId="30" applyNumberFormat="0" applyProtection="0">
      <alignment horizontal="right" vertical="center"/>
    </xf>
    <xf numFmtId="4" fontId="113" fillId="63" borderId="30" applyNumberFormat="0" applyProtection="0">
      <alignment horizontal="right" vertical="center"/>
    </xf>
    <xf numFmtId="4" fontId="113" fillId="65" borderId="30" applyNumberFormat="0" applyProtection="0">
      <alignment horizontal="right" vertical="center"/>
    </xf>
    <xf numFmtId="4" fontId="113" fillId="65" borderId="30" applyNumberFormat="0" applyProtection="0">
      <alignment horizontal="right" vertical="center"/>
    </xf>
    <xf numFmtId="4" fontId="103" fillId="66" borderId="30" applyNumberFormat="0" applyProtection="0">
      <alignment horizontal="right" vertical="center"/>
    </xf>
    <xf numFmtId="4" fontId="113" fillId="65" borderId="30" applyNumberFormat="0" applyProtection="0">
      <alignment horizontal="right" vertical="center"/>
    </xf>
    <xf numFmtId="4" fontId="113" fillId="67" borderId="30" applyNumberFormat="0" applyProtection="0">
      <alignment horizontal="right" vertical="center"/>
    </xf>
    <xf numFmtId="4" fontId="113" fillId="67" borderId="30" applyNumberFormat="0" applyProtection="0">
      <alignment horizontal="right" vertical="center"/>
    </xf>
    <xf numFmtId="4" fontId="103" fillId="68" borderId="30" applyNumberFormat="0" applyProtection="0">
      <alignment horizontal="right" vertical="center"/>
    </xf>
    <xf numFmtId="4" fontId="113" fillId="67" borderId="30" applyNumberFormat="0" applyProtection="0">
      <alignment horizontal="right" vertical="center"/>
    </xf>
    <xf numFmtId="4" fontId="109" fillId="69" borderId="31" applyNumberFormat="0" applyProtection="0">
      <alignment horizontal="left" vertical="center" indent="1"/>
    </xf>
    <xf numFmtId="4" fontId="109" fillId="70" borderId="31" applyNumberFormat="0" applyProtection="0">
      <alignment horizontal="left" vertical="center" indent="1"/>
    </xf>
    <xf numFmtId="4" fontId="109" fillId="70" borderId="31" applyNumberFormat="0" applyProtection="0">
      <alignment horizontal="left" vertical="center" indent="1"/>
    </xf>
    <xf numFmtId="4" fontId="109" fillId="69" borderId="31" applyNumberFormat="0" applyProtection="0">
      <alignment horizontal="left" vertical="center" indent="1"/>
    </xf>
    <xf numFmtId="4" fontId="109" fillId="71" borderId="0" applyNumberFormat="0" applyProtection="0">
      <alignment horizontal="left" vertical="center" indent="1"/>
    </xf>
    <xf numFmtId="4" fontId="103" fillId="72" borderId="0" applyNumberFormat="0" applyProtection="0">
      <alignment horizontal="left" vertical="center" indent="1"/>
    </xf>
    <xf numFmtId="4" fontId="103" fillId="72" borderId="0" applyNumberFormat="0" applyProtection="0">
      <alignment horizontal="left" vertical="center" indent="1"/>
    </xf>
    <xf numFmtId="4" fontId="109" fillId="71" borderId="0" applyNumberFormat="0" applyProtection="0">
      <alignment horizontal="left" vertical="center" indent="1"/>
    </xf>
    <xf numFmtId="4" fontId="109" fillId="51" borderId="0" applyNumberFormat="0" applyProtection="0">
      <alignment horizontal="left" vertical="center" indent="1"/>
    </xf>
    <xf numFmtId="4" fontId="109" fillId="51" borderId="0" applyNumberFormat="0" applyProtection="0">
      <alignment horizontal="left" vertical="center" indent="1"/>
    </xf>
    <xf numFmtId="4" fontId="109" fillId="51" borderId="0" applyNumberFormat="0" applyProtection="0">
      <alignment horizontal="left" vertical="center" indent="1"/>
    </xf>
    <xf numFmtId="4" fontId="113" fillId="71" borderId="30" applyNumberFormat="0" applyProtection="0">
      <alignment horizontal="right" vertical="center"/>
    </xf>
    <xf numFmtId="4" fontId="113" fillId="52" borderId="30" applyNumberFormat="0" applyProtection="0">
      <alignment horizontal="right" vertical="center"/>
    </xf>
    <xf numFmtId="4" fontId="113" fillId="71" borderId="30" applyNumberFormat="0" applyProtection="0">
      <alignment horizontal="right" vertical="center"/>
    </xf>
    <xf numFmtId="4" fontId="113" fillId="52" borderId="30" applyNumberFormat="0" applyProtection="0">
      <alignment horizontal="right" vertical="center"/>
    </xf>
    <xf numFmtId="4" fontId="113" fillId="71" borderId="30" applyNumberFormat="0" applyProtection="0">
      <alignment horizontal="right" vertical="center"/>
    </xf>
    <xf numFmtId="4" fontId="113" fillId="71" borderId="30" applyNumberFormat="0" applyProtection="0">
      <alignment horizontal="right" vertical="center"/>
    </xf>
    <xf numFmtId="4" fontId="113" fillId="71" borderId="30" applyNumberFormat="0" applyProtection="0">
      <alignment horizontal="right" vertical="center"/>
    </xf>
    <xf numFmtId="4" fontId="103" fillId="71" borderId="0" applyNumberFormat="0" applyProtection="0">
      <alignment horizontal="left" vertical="center" indent="1"/>
    </xf>
    <xf numFmtId="4" fontId="103" fillId="73" borderId="0" applyNumberFormat="0" applyProtection="0">
      <alignment horizontal="left" vertical="center" indent="1"/>
    </xf>
    <xf numFmtId="4" fontId="103" fillId="73" borderId="0" applyNumberFormat="0" applyProtection="0">
      <alignment horizontal="left" vertical="center" indent="1"/>
    </xf>
    <xf numFmtId="4" fontId="103" fillId="71" borderId="0" applyNumberFormat="0" applyProtection="0">
      <alignment horizontal="left" vertical="center" indent="1"/>
    </xf>
    <xf numFmtId="4" fontId="103" fillId="51" borderId="0" applyNumberFormat="0" applyProtection="0">
      <alignment horizontal="left" vertical="center" indent="1"/>
    </xf>
    <xf numFmtId="4" fontId="103" fillId="52" borderId="0" applyNumberFormat="0" applyProtection="0">
      <alignment horizontal="left" vertical="center" indent="1"/>
    </xf>
    <xf numFmtId="4" fontId="103" fillId="52" borderId="0" applyNumberFormat="0" applyProtection="0">
      <alignment horizontal="left" vertical="center" indent="1"/>
    </xf>
    <xf numFmtId="4" fontId="103" fillId="51" borderId="0" applyNumberFormat="0" applyProtection="0">
      <alignment horizontal="left" vertical="center" indent="1"/>
    </xf>
    <xf numFmtId="0" fontId="12" fillId="51" borderId="30" applyNumberFormat="0" applyProtection="0">
      <alignment horizontal="left" vertical="center" indent="1"/>
    </xf>
    <xf numFmtId="0" fontId="12" fillId="51" borderId="30" applyNumberFormat="0" applyProtection="0">
      <alignment horizontal="left" vertical="center" indent="1"/>
    </xf>
    <xf numFmtId="0" fontId="12" fillId="51" borderId="30" applyNumberFormat="0" applyProtection="0">
      <alignment horizontal="left" vertical="center" indent="1"/>
    </xf>
    <xf numFmtId="0" fontId="12" fillId="51" borderId="30" applyNumberFormat="0" applyProtection="0">
      <alignment horizontal="left" vertical="top" indent="1"/>
    </xf>
    <xf numFmtId="0" fontId="12" fillId="51" borderId="30" applyNumberFormat="0" applyProtection="0">
      <alignment horizontal="left" vertical="top" indent="1"/>
    </xf>
    <xf numFmtId="0" fontId="12" fillId="51" borderId="30" applyNumberFormat="0" applyProtection="0">
      <alignment horizontal="left" vertical="top" indent="1"/>
    </xf>
    <xf numFmtId="0" fontId="12" fillId="52" borderId="30" applyNumberFormat="0" applyProtection="0">
      <alignment horizontal="left" vertical="center" indent="1"/>
    </xf>
    <xf numFmtId="0" fontId="12" fillId="52" borderId="30" applyNumberFormat="0" applyProtection="0">
      <alignment horizontal="left" vertical="center" indent="1"/>
    </xf>
    <xf numFmtId="0" fontId="12" fillId="52" borderId="30" applyNumberFormat="0" applyProtection="0">
      <alignment horizontal="left" vertical="center" indent="1"/>
    </xf>
    <xf numFmtId="0" fontId="12" fillId="52" borderId="30" applyNumberFormat="0" applyProtection="0">
      <alignment horizontal="left" vertical="top" indent="1"/>
    </xf>
    <xf numFmtId="0" fontId="12" fillId="52" borderId="30" applyNumberFormat="0" applyProtection="0">
      <alignment horizontal="left" vertical="top" indent="1"/>
    </xf>
    <xf numFmtId="0" fontId="12" fillId="52" borderId="30" applyNumberFormat="0" applyProtection="0">
      <alignment horizontal="left" vertical="top" indent="1"/>
    </xf>
    <xf numFmtId="0" fontId="12" fillId="71" borderId="30" applyNumberFormat="0" applyProtection="0">
      <alignment horizontal="left" vertical="center" indent="1"/>
    </xf>
    <xf numFmtId="0" fontId="12" fillId="71" borderId="30" applyNumberFormat="0" applyProtection="0">
      <alignment horizontal="left" vertical="center" indent="1"/>
    </xf>
    <xf numFmtId="0" fontId="12" fillId="71" borderId="30" applyNumberFormat="0" applyProtection="0">
      <alignment horizontal="left" vertical="center" indent="1"/>
    </xf>
    <xf numFmtId="0" fontId="12" fillId="71" borderId="30" applyNumberFormat="0" applyProtection="0">
      <alignment horizontal="left" vertical="top" indent="1"/>
    </xf>
    <xf numFmtId="0" fontId="12" fillId="71" borderId="30" applyNumberFormat="0" applyProtection="0">
      <alignment horizontal="left" vertical="top" indent="1"/>
    </xf>
    <xf numFmtId="0" fontId="12" fillId="71" borderId="30" applyNumberFormat="0" applyProtection="0">
      <alignment horizontal="left" vertical="top" indent="1"/>
    </xf>
    <xf numFmtId="0" fontId="12" fillId="73" borderId="30" applyNumberFormat="0" applyProtection="0">
      <alignment horizontal="left" vertical="center" indent="1"/>
    </xf>
    <xf numFmtId="0" fontId="12" fillId="73" borderId="30" applyNumberFormat="0" applyProtection="0">
      <alignment horizontal="left" vertical="center" indent="1"/>
    </xf>
    <xf numFmtId="0" fontId="12" fillId="73" borderId="30" applyNumberFormat="0" applyProtection="0">
      <alignment horizontal="left" vertical="center" indent="1"/>
    </xf>
    <xf numFmtId="0" fontId="12" fillId="73" borderId="30" applyNumberFormat="0" applyProtection="0">
      <alignment horizontal="left" vertical="top" indent="1"/>
    </xf>
    <xf numFmtId="0" fontId="12" fillId="73" borderId="30" applyNumberFormat="0" applyProtection="0">
      <alignment horizontal="left" vertical="top" indent="1"/>
    </xf>
    <xf numFmtId="0" fontId="12" fillId="73" borderId="30" applyNumberFormat="0" applyProtection="0">
      <alignment horizontal="left" vertical="top" indent="1"/>
    </xf>
    <xf numFmtId="0" fontId="12" fillId="0" borderId="0"/>
    <xf numFmtId="0" fontId="12" fillId="0" borderId="0"/>
    <xf numFmtId="4" fontId="113" fillId="73" borderId="30" applyNumberFormat="0" applyProtection="0">
      <alignment vertical="center"/>
    </xf>
    <xf numFmtId="4" fontId="113" fillId="73" borderId="30" applyNumberFormat="0" applyProtection="0">
      <alignment vertical="center"/>
    </xf>
    <xf numFmtId="4" fontId="103" fillId="74" borderId="30" applyNumberFormat="0" applyProtection="0">
      <alignment vertical="center"/>
    </xf>
    <xf numFmtId="4" fontId="113" fillId="73" borderId="30" applyNumberFormat="0" applyProtection="0">
      <alignment vertical="center"/>
    </xf>
    <xf numFmtId="4" fontId="114" fillId="73" borderId="30" applyNumberFormat="0" applyProtection="0">
      <alignment vertical="center"/>
    </xf>
    <xf numFmtId="4" fontId="114" fillId="73" borderId="30" applyNumberFormat="0" applyProtection="0">
      <alignment vertical="center"/>
    </xf>
    <xf numFmtId="4" fontId="115" fillId="74" borderId="30" applyNumberFormat="0" applyProtection="0">
      <alignment vertical="center"/>
    </xf>
    <xf numFmtId="4" fontId="114" fillId="73" borderId="30" applyNumberFormat="0" applyProtection="0">
      <alignment vertical="center"/>
    </xf>
    <xf numFmtId="4" fontId="109" fillId="71" borderId="32" applyNumberFormat="0" applyProtection="0">
      <alignment horizontal="left" vertical="center" indent="1"/>
    </xf>
    <xf numFmtId="4" fontId="109" fillId="71" borderId="32" applyNumberFormat="0" applyProtection="0">
      <alignment horizontal="left" vertical="center" indent="1"/>
    </xf>
    <xf numFmtId="4" fontId="103" fillId="74" borderId="30" applyNumberFormat="0" applyProtection="0">
      <alignment horizontal="left" vertical="center" indent="1"/>
    </xf>
    <xf numFmtId="4" fontId="109" fillId="71" borderId="32" applyNumberFormat="0" applyProtection="0">
      <alignment horizontal="left" vertical="center" indent="1"/>
    </xf>
    <xf numFmtId="0" fontId="103" fillId="74" borderId="30" applyNumberFormat="0" applyProtection="0">
      <alignment horizontal="left" vertical="top" indent="1"/>
    </xf>
    <xf numFmtId="0" fontId="12" fillId="0" borderId="0"/>
    <xf numFmtId="0" fontId="12" fillId="0" borderId="0"/>
    <xf numFmtId="4" fontId="113" fillId="73" borderId="30" applyNumberFormat="0" applyProtection="0">
      <alignment horizontal="right" vertical="center"/>
    </xf>
    <xf numFmtId="4" fontId="113" fillId="73" borderId="30" applyNumberFormat="0" applyProtection="0">
      <alignment horizontal="right" vertical="center"/>
    </xf>
    <xf numFmtId="4" fontId="113" fillId="73" borderId="30" applyNumberFormat="0" applyProtection="0">
      <alignment horizontal="right" vertical="center"/>
    </xf>
    <xf numFmtId="4" fontId="113" fillId="73" borderId="30" applyNumberFormat="0" applyProtection="0">
      <alignment horizontal="right" vertical="center"/>
    </xf>
    <xf numFmtId="4" fontId="113" fillId="73" borderId="30" applyNumberFormat="0" applyProtection="0">
      <alignment horizontal="right" vertical="center"/>
    </xf>
    <xf numFmtId="4" fontId="113" fillId="73" borderId="30" applyNumberFormat="0" applyProtection="0">
      <alignment horizontal="right" vertical="center"/>
    </xf>
    <xf numFmtId="4" fontId="114" fillId="44" borderId="30" applyNumberFormat="0" applyProtection="0">
      <alignment horizontal="right" vertical="center"/>
    </xf>
    <xf numFmtId="4" fontId="114" fillId="73" borderId="30" applyNumberFormat="0" applyProtection="0">
      <alignment horizontal="right" vertical="center"/>
    </xf>
    <xf numFmtId="4" fontId="115" fillId="72" borderId="30" applyNumberFormat="0" applyProtection="0">
      <alignment horizontal="right" vertical="center"/>
    </xf>
    <xf numFmtId="4" fontId="114" fillId="73" borderId="30" applyNumberFormat="0" applyProtection="0">
      <alignment horizontal="right" vertical="center"/>
    </xf>
    <xf numFmtId="4" fontId="109" fillId="71" borderId="30" applyNumberFormat="0" applyProtection="0">
      <alignment horizontal="left" vertical="center" indent="1"/>
    </xf>
    <xf numFmtId="4" fontId="109" fillId="71" borderId="30" applyNumberFormat="0" applyProtection="0">
      <alignment horizontal="left" vertical="center" indent="1"/>
    </xf>
    <xf numFmtId="4" fontId="109" fillId="71" borderId="30" applyNumberFormat="0" applyProtection="0">
      <alignment horizontal="left" vertical="center" indent="1"/>
    </xf>
    <xf numFmtId="4" fontId="109" fillId="71" borderId="30" applyNumberFormat="0" applyProtection="0">
      <alignment horizontal="left" vertical="center" indent="1"/>
    </xf>
    <xf numFmtId="4" fontId="109" fillId="52" borderId="30" applyNumberFormat="0" applyProtection="0">
      <alignment horizontal="left" vertical="center" indent="1"/>
    </xf>
    <xf numFmtId="4" fontId="109" fillId="52" borderId="30" applyNumberFormat="0" applyProtection="0">
      <alignment horizontal="left" vertical="center" indent="1"/>
    </xf>
    <xf numFmtId="4" fontId="109" fillId="71" borderId="30" applyNumberFormat="0" applyProtection="0">
      <alignment horizontal="left" vertical="center" indent="1"/>
    </xf>
    <xf numFmtId="0" fontId="103" fillId="52" borderId="30" applyNumberFormat="0" applyProtection="0">
      <alignment horizontal="left" vertical="top" indent="1"/>
    </xf>
    <xf numFmtId="0" fontId="103" fillId="52" borderId="30" applyNumberFormat="0" applyProtection="0">
      <alignment horizontal="left" vertical="top" indent="1"/>
    </xf>
    <xf numFmtId="0" fontId="12" fillId="0" borderId="0"/>
    <xf numFmtId="4" fontId="116" fillId="52" borderId="32" applyNumberFormat="0" applyProtection="0">
      <alignment horizontal="left" vertical="center" indent="1"/>
    </xf>
    <xf numFmtId="4" fontId="116" fillId="52" borderId="32" applyNumberFormat="0" applyProtection="0">
      <alignment horizontal="left" vertical="center" indent="1"/>
    </xf>
    <xf numFmtId="4" fontId="116" fillId="75" borderId="0" applyNumberFormat="0" applyProtection="0">
      <alignment horizontal="left" vertical="center" indent="1"/>
    </xf>
    <xf numFmtId="4" fontId="116" fillId="52" borderId="32" applyNumberFormat="0" applyProtection="0">
      <alignment horizontal="left" vertical="center" indent="1"/>
    </xf>
    <xf numFmtId="4" fontId="117" fillId="73" borderId="30" applyNumberFormat="0" applyProtection="0">
      <alignment horizontal="right" vertical="center"/>
    </xf>
    <xf numFmtId="4" fontId="117" fillId="73" borderId="30" applyNumberFormat="0" applyProtection="0">
      <alignment horizontal="right" vertical="center"/>
    </xf>
    <xf numFmtId="4" fontId="118" fillId="72" borderId="30" applyNumberFormat="0" applyProtection="0">
      <alignment horizontal="right" vertical="center"/>
    </xf>
    <xf numFmtId="4" fontId="117" fillId="73" borderId="30" applyNumberFormat="0" applyProtection="0">
      <alignment horizontal="right" vertical="center"/>
    </xf>
    <xf numFmtId="0" fontId="1" fillId="0" borderId="0"/>
    <xf numFmtId="0" fontId="119" fillId="0" borderId="0"/>
    <xf numFmtId="0" fontId="12" fillId="0" borderId="0"/>
    <xf numFmtId="0" fontId="49" fillId="0" borderId="0"/>
    <xf numFmtId="0" fontId="49" fillId="0" borderId="0"/>
    <xf numFmtId="0" fontId="49" fillId="0" borderId="0"/>
    <xf numFmtId="0" fontId="49" fillId="0" borderId="0"/>
    <xf numFmtId="0" fontId="48" fillId="0" borderId="0"/>
    <xf numFmtId="0" fontId="49" fillId="0" borderId="0"/>
    <xf numFmtId="0" fontId="49" fillId="0" borderId="0"/>
    <xf numFmtId="0" fontId="49" fillId="0" borderId="0"/>
    <xf numFmtId="0" fontId="49" fillId="0" borderId="0"/>
    <xf numFmtId="0" fontId="49" fillId="0" borderId="0"/>
    <xf numFmtId="0" fontId="1" fillId="0" borderId="0"/>
    <xf numFmtId="0" fontId="12" fillId="0" borderId="0"/>
    <xf numFmtId="0" fontId="12" fillId="0" borderId="0"/>
    <xf numFmtId="0" fontId="106" fillId="0" borderId="0"/>
    <xf numFmtId="0" fontId="49" fillId="0" borderId="0"/>
    <xf numFmtId="0" fontId="49" fillId="0" borderId="0"/>
    <xf numFmtId="0" fontId="49" fillId="0" borderId="0"/>
    <xf numFmtId="0" fontId="49" fillId="0" borderId="0"/>
    <xf numFmtId="0" fontId="12" fillId="0" borderId="0"/>
    <xf numFmtId="0" fontId="49" fillId="0" borderId="0"/>
    <xf numFmtId="0" fontId="49" fillId="0" borderId="0"/>
    <xf numFmtId="0" fontId="1" fillId="0" borderId="0"/>
    <xf numFmtId="0" fontId="12" fillId="0" borderId="0"/>
    <xf numFmtId="0" fontId="12" fillId="0" borderId="0"/>
    <xf numFmtId="0" fontId="12" fillId="0" borderId="0"/>
    <xf numFmtId="0" fontId="12" fillId="0" borderId="0"/>
    <xf numFmtId="0" fontId="12" fillId="0" borderId="0"/>
    <xf numFmtId="0" fontId="49" fillId="0" borderId="0"/>
    <xf numFmtId="0" fontId="1" fillId="0" borderId="0"/>
    <xf numFmtId="0" fontId="49" fillId="0" borderId="0"/>
    <xf numFmtId="0" fontId="1" fillId="0" borderId="0"/>
    <xf numFmtId="0" fontId="49" fillId="0" borderId="0"/>
    <xf numFmtId="0" fontId="49" fillId="0" borderId="0"/>
    <xf numFmtId="0" fontId="1" fillId="0" borderId="0"/>
    <xf numFmtId="0" fontId="1" fillId="0" borderId="0"/>
    <xf numFmtId="0" fontId="25" fillId="0" borderId="0"/>
    <xf numFmtId="0" fontId="86" fillId="76" borderId="0">
      <alignment horizontal="left"/>
    </xf>
    <xf numFmtId="0" fontId="95" fillId="76" borderId="0">
      <alignment horizontal="left" wrapText="1"/>
    </xf>
    <xf numFmtId="0" fontId="86" fillId="76" borderId="0">
      <alignment horizontal="left"/>
    </xf>
    <xf numFmtId="0" fontId="120" fillId="0" borderId="33"/>
    <xf numFmtId="0" fontId="121" fillId="0" borderId="0"/>
    <xf numFmtId="0" fontId="72" fillId="40" borderId="0">
      <alignment horizontal="center"/>
    </xf>
    <xf numFmtId="0" fontId="122" fillId="0" borderId="0" applyNumberFormat="0" applyFill="0" applyBorder="0" applyAlignment="0" applyProtection="0"/>
    <xf numFmtId="0" fontId="87" fillId="40" borderId="0"/>
    <xf numFmtId="0" fontId="86" fillId="76" borderId="0">
      <alignment horizontal="left"/>
    </xf>
    <xf numFmtId="0" fontId="12" fillId="0" borderId="1" applyNumberFormat="0" applyFill="0" applyAlignment="0" applyProtection="0"/>
    <xf numFmtId="0" fontId="7" fillId="0" borderId="10" applyNumberFormat="0" applyFill="0" applyAlignment="0" applyProtection="0"/>
    <xf numFmtId="0" fontId="12" fillId="0" borderId="34" applyNumberFormat="0" applyFill="0" applyAlignment="0" applyProtection="0"/>
    <xf numFmtId="0" fontId="12" fillId="0" borderId="1" applyNumberFormat="0" applyFill="0" applyAlignment="0" applyProtection="0"/>
    <xf numFmtId="41" fontId="25" fillId="0" borderId="0" applyFont="0" applyFill="0" applyBorder="0" applyAlignment="0" applyProtection="0"/>
    <xf numFmtId="43" fontId="25" fillId="0" borderId="0" applyFont="0" applyFill="0" applyBorder="0" applyAlignment="0" applyProtection="0"/>
    <xf numFmtId="0" fontId="123" fillId="7" borderId="6" applyNumberFormat="0" applyAlignment="0" applyProtection="0"/>
    <xf numFmtId="0" fontId="55" fillId="7" borderId="6" applyNumberFormat="0" applyAlignment="0" applyProtection="0"/>
    <xf numFmtId="176" fontId="25" fillId="0" borderId="0" applyFont="0" applyFill="0" applyBorder="0" applyAlignment="0" applyProtection="0"/>
    <xf numFmtId="170" fontId="12" fillId="0" borderId="0" applyFont="0" applyFill="0" applyBorder="0" applyAlignment="0" applyProtection="0"/>
    <xf numFmtId="170" fontId="12" fillId="0" borderId="0" applyFont="0" applyFill="0" applyBorder="0" applyAlignment="0" applyProtection="0"/>
    <xf numFmtId="170" fontId="12" fillId="0" borderId="0" applyFont="0" applyFill="0" applyBorder="0" applyAlignment="0" applyProtection="0"/>
    <xf numFmtId="170" fontId="12" fillId="0" borderId="0" applyFont="0" applyFill="0" applyBorder="0" applyAlignment="0" applyProtection="0"/>
    <xf numFmtId="170" fontId="12"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177" fontId="12" fillId="0" borderId="0" applyFill="0" applyBorder="0" applyAlignment="0" applyProtection="0"/>
    <xf numFmtId="2" fontId="12" fillId="0" borderId="0" applyFill="0" applyBorder="0" applyAlignment="0" applyProtection="0"/>
    <xf numFmtId="0" fontId="124" fillId="0" borderId="0" applyNumberFormat="0" applyFill="0" applyBorder="0" applyAlignment="0" applyProtection="0"/>
    <xf numFmtId="0" fontId="60" fillId="0" borderId="0" applyNumberFormat="0" applyFill="0" applyBorder="0" applyAlignment="0" applyProtection="0"/>
    <xf numFmtId="0" fontId="31" fillId="0" borderId="0" applyNumberFormat="0" applyFill="0" applyBorder="0" applyAlignment="0" applyProtection="0"/>
    <xf numFmtId="0" fontId="59" fillId="0" borderId="0" applyNumberFormat="0" applyFill="0" applyBorder="0" applyAlignment="0" applyProtection="0"/>
    <xf numFmtId="176" fontId="25" fillId="0" borderId="0" applyFont="0" applyFill="0" applyBorder="0" applyAlignment="0" applyProtection="0"/>
    <xf numFmtId="178" fontId="25" fillId="0" borderId="0" applyFont="0" applyFill="0" applyBorder="0" applyAlignment="0" applyProtection="0"/>
    <xf numFmtId="0" fontId="125" fillId="0" borderId="0" applyNumberFormat="0" applyFill="0" applyBorder="0" applyAlignment="0" applyProtection="0"/>
    <xf numFmtId="9" fontId="42" fillId="0" borderId="0" applyFont="0" applyFill="0" applyBorder="0" applyAlignment="0" applyProtection="0"/>
  </cellStyleXfs>
  <cellXfs count="283">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164" fontId="5" fillId="0" borderId="0" xfId="0" applyNumberFormat="1" applyFont="1"/>
    <xf numFmtId="164" fontId="4" fillId="0" borderId="0" xfId="0" applyNumberFormat="1" applyFont="1"/>
    <xf numFmtId="0" fontId="5" fillId="0" borderId="0" xfId="0" applyFont="1" applyFill="1"/>
    <xf numFmtId="0" fontId="5" fillId="0" borderId="0" xfId="0" applyFont="1" applyAlignment="1">
      <alignment horizontal="left"/>
    </xf>
    <xf numFmtId="0" fontId="5" fillId="0" borderId="0" xfId="0" applyFont="1" applyFill="1" applyBorder="1" applyAlignment="1"/>
    <xf numFmtId="0" fontId="5" fillId="0" borderId="0" xfId="0" applyFont="1" applyFill="1" applyBorder="1"/>
    <xf numFmtId="1" fontId="5" fillId="0" borderId="0" xfId="0" applyNumberFormat="1" applyFont="1" applyFill="1" applyBorder="1" applyAlignment="1">
      <alignment horizontal="right"/>
    </xf>
    <xf numFmtId="165" fontId="4" fillId="0" borderId="0" xfId="0" applyNumberFormat="1" applyFont="1"/>
    <xf numFmtId="0" fontId="5" fillId="0" borderId="0" xfId="0" applyFont="1" applyAlignment="1">
      <alignment horizontal="right"/>
    </xf>
    <xf numFmtId="0" fontId="2" fillId="2" borderId="0" xfId="0" applyFont="1" applyFill="1"/>
    <xf numFmtId="0" fontId="4" fillId="2" borderId="0" xfId="0" applyFont="1" applyFill="1"/>
    <xf numFmtId="0" fontId="3" fillId="2" borderId="0" xfId="0" applyFont="1" applyFill="1"/>
    <xf numFmtId="0" fontId="5" fillId="2" borderId="0" xfId="0" applyFont="1" applyFill="1"/>
    <xf numFmtId="0" fontId="6" fillId="0" borderId="0" xfId="0" applyFont="1"/>
    <xf numFmtId="164" fontId="4" fillId="0" borderId="0" xfId="0" applyNumberFormat="1" applyFont="1" applyFill="1" applyBorder="1"/>
    <xf numFmtId="0" fontId="8" fillId="0" borderId="0" xfId="0" applyFont="1"/>
    <xf numFmtId="0" fontId="5" fillId="0" borderId="0" xfId="1" applyFont="1" applyAlignment="1">
      <alignment wrapText="1"/>
    </xf>
    <xf numFmtId="0" fontId="4" fillId="0" borderId="0" xfId="1" applyFont="1" applyAlignment="1">
      <alignment wrapText="1"/>
    </xf>
    <xf numFmtId="0" fontId="2" fillId="0" borderId="0" xfId="0" applyFont="1" applyFill="1"/>
    <xf numFmtId="0" fontId="9" fillId="0" borderId="0" xfId="1"/>
    <xf numFmtId="0" fontId="2" fillId="0" borderId="0" xfId="1" applyFont="1"/>
    <xf numFmtId="0" fontId="2" fillId="0" borderId="0" xfId="1" applyFont="1" applyAlignment="1">
      <alignment horizontal="right"/>
    </xf>
    <xf numFmtId="0" fontId="2" fillId="0" borderId="0" xfId="1" applyFont="1" applyAlignment="1">
      <alignment horizontal="left"/>
    </xf>
    <xf numFmtId="0" fontId="10" fillId="0" borderId="0" xfId="1" applyFont="1" applyAlignment="1">
      <alignment horizontal="left"/>
    </xf>
    <xf numFmtId="0" fontId="4" fillId="2" borderId="0" xfId="1" applyFont="1" applyFill="1"/>
    <xf numFmtId="164" fontId="4" fillId="2" borderId="0" xfId="1" applyNumberFormat="1" applyFont="1" applyFill="1"/>
    <xf numFmtId="0" fontId="4" fillId="2" borderId="0" xfId="1" applyFont="1" applyFill="1" applyAlignment="1">
      <alignment horizontal="right"/>
    </xf>
    <xf numFmtId="0" fontId="4" fillId="2" borderId="0" xfId="1" applyFont="1" applyFill="1" applyAlignment="1">
      <alignment horizontal="left"/>
    </xf>
    <xf numFmtId="0" fontId="3" fillId="2" borderId="0" xfId="1" applyFont="1" applyFill="1"/>
    <xf numFmtId="0" fontId="8" fillId="2" borderId="0" xfId="1" applyFont="1" applyFill="1" applyAlignment="1">
      <alignment horizontal="left"/>
    </xf>
    <xf numFmtId="0" fontId="8" fillId="2" borderId="0" xfId="1" applyFont="1" applyFill="1"/>
    <xf numFmtId="165" fontId="8" fillId="2" borderId="0" xfId="0" applyNumberFormat="1" applyFont="1" applyFill="1"/>
    <xf numFmtId="0" fontId="4" fillId="0" borderId="0" xfId="1" applyFont="1" applyFill="1"/>
    <xf numFmtId="0" fontId="16" fillId="0" borderId="0" xfId="0" applyFont="1"/>
    <xf numFmtId="0" fontId="7" fillId="0" borderId="0" xfId="0" applyFont="1"/>
    <xf numFmtId="0" fontId="8" fillId="2" borderId="0" xfId="0" applyFont="1" applyFill="1"/>
    <xf numFmtId="164" fontId="8" fillId="2" borderId="0" xfId="0" applyNumberFormat="1" applyFont="1" applyFill="1"/>
    <xf numFmtId="0" fontId="7" fillId="0" borderId="0" xfId="0" applyFont="1" applyFill="1" applyBorder="1" applyAlignment="1">
      <alignment vertical="center" wrapText="1"/>
    </xf>
    <xf numFmtId="167" fontId="5" fillId="0" borderId="0" xfId="0" applyNumberFormat="1" applyFont="1" applyFill="1"/>
    <xf numFmtId="167" fontId="2" fillId="0" borderId="0" xfId="0" applyNumberFormat="1" applyFont="1" applyFill="1"/>
    <xf numFmtId="0" fontId="16" fillId="0" borderId="0" xfId="0" applyFont="1" applyAlignment="1">
      <alignment horizontal="left"/>
    </xf>
    <xf numFmtId="0" fontId="7" fillId="0" borderId="0" xfId="0" applyFont="1" applyBorder="1" applyAlignment="1">
      <alignment horizontal="left" vertical="center" wrapText="1"/>
    </xf>
    <xf numFmtId="0" fontId="3" fillId="0" borderId="0" xfId="0" applyFont="1" applyAlignment="1">
      <alignment horizontal="left"/>
    </xf>
    <xf numFmtId="0" fontId="16" fillId="0" borderId="0" xfId="0" applyFont="1" applyBorder="1" applyAlignment="1">
      <alignment horizontal="left" vertical="center" wrapText="1"/>
    </xf>
    <xf numFmtId="167" fontId="16" fillId="0" borderId="0" xfId="0" applyNumberFormat="1" applyFont="1"/>
    <xf numFmtId="9" fontId="3" fillId="0" borderId="0" xfId="0" applyNumberFormat="1" applyFont="1" applyAlignment="1"/>
    <xf numFmtId="49" fontId="3" fillId="0" borderId="0" xfId="0" applyNumberFormat="1" applyFont="1" applyAlignment="1">
      <alignment vertical="top" wrapText="1"/>
    </xf>
    <xf numFmtId="9" fontId="3" fillId="0" borderId="0" xfId="0" applyNumberFormat="1" applyFont="1" applyAlignment="1">
      <alignment vertical="top" wrapText="1"/>
    </xf>
    <xf numFmtId="0" fontId="7" fillId="0" borderId="0" xfId="0" applyFont="1" applyAlignment="1">
      <alignment vertical="center"/>
    </xf>
    <xf numFmtId="0" fontId="17" fillId="0" borderId="0" xfId="0" quotePrefix="1" applyFont="1"/>
    <xf numFmtId="167" fontId="17" fillId="0" borderId="0" xfId="0" applyNumberFormat="1" applyFont="1"/>
    <xf numFmtId="0" fontId="17" fillId="0" borderId="0" xfId="0" applyFont="1"/>
    <xf numFmtId="0" fontId="18" fillId="0" borderId="0" xfId="0" applyFont="1"/>
    <xf numFmtId="167" fontId="18" fillId="0" borderId="0" xfId="0" applyNumberFormat="1" applyFont="1"/>
    <xf numFmtId="165" fontId="2" fillId="0" borderId="0" xfId="0" applyNumberFormat="1" applyFont="1"/>
    <xf numFmtId="165" fontId="4" fillId="2" borderId="0" xfId="0" applyNumberFormat="1" applyFont="1" applyFill="1"/>
    <xf numFmtId="165" fontId="2" fillId="2" borderId="0" xfId="0" applyNumberFormat="1" applyFont="1" applyFill="1"/>
    <xf numFmtId="165" fontId="5" fillId="0" borderId="0" xfId="0" applyNumberFormat="1" applyFont="1"/>
    <xf numFmtId="165" fontId="4" fillId="2" borderId="0" xfId="1" applyNumberFormat="1" applyFont="1" applyFill="1"/>
    <xf numFmtId="165" fontId="3" fillId="2" borderId="0" xfId="0" applyNumberFormat="1" applyFont="1" applyFill="1"/>
    <xf numFmtId="165" fontId="5" fillId="0" borderId="0" xfId="0" applyNumberFormat="1" applyFont="1" applyFill="1" applyBorder="1"/>
    <xf numFmtId="165" fontId="3" fillId="2" borderId="0" xfId="1" applyNumberFormat="1" applyFont="1" applyFill="1"/>
    <xf numFmtId="164" fontId="2" fillId="0" borderId="0" xfId="0" applyNumberFormat="1" applyFont="1"/>
    <xf numFmtId="164" fontId="5" fillId="0" borderId="0" xfId="0" applyNumberFormat="1" applyFont="1" applyFill="1"/>
    <xf numFmtId="164" fontId="3" fillId="0" borderId="0" xfId="0" applyNumberFormat="1" applyFont="1"/>
    <xf numFmtId="164" fontId="16" fillId="0" borderId="0" xfId="0" applyNumberFormat="1" applyFont="1"/>
    <xf numFmtId="0" fontId="2" fillId="0" borderId="0" xfId="0" applyFont="1" applyAlignment="1">
      <alignment horizontal="right"/>
    </xf>
    <xf numFmtId="0" fontId="4" fillId="0" borderId="0" xfId="0" applyFont="1" applyAlignment="1">
      <alignment horizontal="right"/>
    </xf>
    <xf numFmtId="0" fontId="5" fillId="0" borderId="0" xfId="0" applyFont="1" applyFill="1" applyAlignment="1">
      <alignment horizontal="right"/>
    </xf>
    <xf numFmtId="0" fontId="2" fillId="0" borderId="0" xfId="0" applyFont="1" applyFill="1" applyAlignment="1">
      <alignment horizontal="right"/>
    </xf>
    <xf numFmtId="0" fontId="6" fillId="0" borderId="0" xfId="0" applyFont="1" applyAlignment="1">
      <alignment horizontal="right"/>
    </xf>
    <xf numFmtId="0" fontId="16" fillId="0" borderId="0" xfId="0" applyFont="1" applyAlignment="1">
      <alignment horizontal="right"/>
    </xf>
    <xf numFmtId="167" fontId="5" fillId="0" borderId="0" xfId="0" applyNumberFormat="1" applyFont="1"/>
    <xf numFmtId="169" fontId="5" fillId="0" borderId="0" xfId="0" applyNumberFormat="1" applyFont="1"/>
    <xf numFmtId="167" fontId="2" fillId="0" borderId="0" xfId="0" applyNumberFormat="1" applyFont="1"/>
    <xf numFmtId="0" fontId="4" fillId="0" borderId="0" xfId="0" applyFont="1" applyAlignment="1">
      <alignment horizontal="left" vertical="top"/>
    </xf>
    <xf numFmtId="0" fontId="3" fillId="0" borderId="0" xfId="0" quotePrefix="1" applyFont="1"/>
    <xf numFmtId="0" fontId="4" fillId="0" borderId="0" xfId="0" applyFont="1" applyAlignment="1">
      <alignment horizontal="left"/>
    </xf>
    <xf numFmtId="0" fontId="3" fillId="0" borderId="0" xfId="0" applyFont="1" applyAlignment="1">
      <alignment vertical="top" wrapText="1"/>
    </xf>
    <xf numFmtId="0" fontId="16" fillId="0" borderId="0" xfId="0" applyFont="1" applyAlignment="1">
      <alignment wrapText="1"/>
    </xf>
    <xf numFmtId="167" fontId="7" fillId="0" borderId="0" xfId="0" applyNumberFormat="1" applyFont="1" applyFill="1" applyBorder="1" applyAlignment="1">
      <alignment horizontal="right" vertical="center" wrapText="1"/>
    </xf>
    <xf numFmtId="169" fontId="16" fillId="0" borderId="0" xfId="0" applyNumberFormat="1" applyFont="1" applyFill="1" applyBorder="1" applyAlignment="1">
      <alignment horizontal="right" vertical="center" wrapText="1"/>
    </xf>
    <xf numFmtId="0" fontId="4" fillId="0" borderId="0" xfId="0" applyFont="1" applyFill="1"/>
    <xf numFmtId="164" fontId="6" fillId="0" borderId="0" xfId="0" applyNumberFormat="1" applyFont="1" applyFill="1" applyBorder="1"/>
    <xf numFmtId="164" fontId="7" fillId="0" borderId="0" xfId="0" applyNumberFormat="1" applyFont="1"/>
    <xf numFmtId="0" fontId="10" fillId="0" borderId="0" xfId="0" applyFont="1"/>
    <xf numFmtId="0" fontId="21" fillId="0" borderId="0" xfId="0" applyFont="1" applyAlignment="1">
      <alignment horizontal="left"/>
    </xf>
    <xf numFmtId="167" fontId="22" fillId="0" borderId="0" xfId="0" applyNumberFormat="1" applyFont="1"/>
    <xf numFmtId="0" fontId="22" fillId="0" borderId="0" xfId="0" applyFont="1"/>
    <xf numFmtId="0" fontId="21" fillId="0" borderId="0" xfId="0" applyFont="1"/>
    <xf numFmtId="0" fontId="23" fillId="0" borderId="0" xfId="0" applyFont="1"/>
    <xf numFmtId="167" fontId="6" fillId="0" borderId="0" xfId="0" applyNumberFormat="1" applyFont="1"/>
    <xf numFmtId="167" fontId="23" fillId="0" borderId="0" xfId="0" applyNumberFormat="1" applyFont="1"/>
    <xf numFmtId="169" fontId="6" fillId="0" borderId="0" xfId="0" applyNumberFormat="1" applyFont="1"/>
    <xf numFmtId="169" fontId="23" fillId="0" borderId="0" xfId="0" applyNumberFormat="1" applyFont="1"/>
    <xf numFmtId="169" fontId="6" fillId="0" borderId="0" xfId="0" quotePrefix="1" applyNumberFormat="1" applyFont="1" applyAlignment="1">
      <alignment horizontal="right"/>
    </xf>
    <xf numFmtId="0" fontId="6" fillId="0" borderId="0" xfId="0" applyFont="1" applyFill="1" applyBorder="1" applyAlignment="1">
      <alignment horizontal="left"/>
    </xf>
    <xf numFmtId="0" fontId="10" fillId="0" borderId="0" xfId="0" applyFont="1" applyAlignment="1">
      <alignment horizontal="left"/>
    </xf>
    <xf numFmtId="0" fontId="4" fillId="2" borderId="0" xfId="0" applyFont="1" applyFill="1" applyAlignment="1">
      <alignment horizontal="left"/>
    </xf>
    <xf numFmtId="0" fontId="6" fillId="0" borderId="0" xfId="0" applyFont="1" applyAlignment="1">
      <alignment horizontal="left"/>
    </xf>
    <xf numFmtId="0" fontId="5" fillId="2" borderId="0" xfId="0" applyFont="1" applyFill="1" applyAlignment="1">
      <alignment horizontal="left"/>
    </xf>
    <xf numFmtId="0" fontId="3" fillId="0" borderId="0" xfId="0" applyFont="1" applyFill="1" applyBorder="1" applyAlignment="1">
      <alignment horizontal="left"/>
    </xf>
    <xf numFmtId="0" fontId="8" fillId="2" borderId="0" xfId="0" applyFont="1" applyFill="1" applyAlignment="1">
      <alignment horizontal="left"/>
    </xf>
    <xf numFmtId="0" fontId="5" fillId="0" borderId="0" xfId="1" applyFont="1"/>
    <xf numFmtId="164" fontId="5" fillId="0" borderId="0" xfId="1" applyNumberFormat="1" applyFont="1"/>
    <xf numFmtId="0" fontId="9" fillId="0" borderId="0" xfId="1"/>
    <xf numFmtId="0" fontId="2" fillId="2" borderId="0" xfId="1" applyFont="1" applyFill="1" applyAlignment="1">
      <alignment horizontal="right"/>
    </xf>
    <xf numFmtId="0" fontId="2" fillId="2" borderId="0" xfId="1" applyFont="1" applyFill="1"/>
    <xf numFmtId="0" fontId="5" fillId="2" borderId="0" xfId="1" applyFont="1" applyFill="1"/>
    <xf numFmtId="165" fontId="2" fillId="0" borderId="0" xfId="1" applyNumberFormat="1" applyFont="1"/>
    <xf numFmtId="0" fontId="5" fillId="0" borderId="0" xfId="1" applyFont="1"/>
    <xf numFmtId="0" fontId="5" fillId="0" borderId="0" xfId="1" applyFont="1"/>
    <xf numFmtId="164" fontId="5" fillId="0" borderId="0" xfId="1" applyNumberFormat="1" applyFont="1"/>
    <xf numFmtId="164" fontId="5" fillId="0" borderId="0" xfId="15" applyNumberFormat="1" applyFont="1" applyFill="1" applyBorder="1"/>
    <xf numFmtId="0" fontId="6" fillId="0" borderId="0" xfId="0" applyFont="1"/>
    <xf numFmtId="165" fontId="5" fillId="0" borderId="0" xfId="0" applyNumberFormat="1" applyFont="1" applyFill="1"/>
    <xf numFmtId="165" fontId="2" fillId="0" borderId="0" xfId="0" applyNumberFormat="1" applyFont="1" applyFill="1"/>
    <xf numFmtId="0" fontId="1" fillId="0" borderId="0" xfId="0" applyFont="1" applyAlignment="1">
      <alignment vertical="center"/>
    </xf>
    <xf numFmtId="0" fontId="1" fillId="0" borderId="0" xfId="0" applyFont="1"/>
    <xf numFmtId="2" fontId="7" fillId="0" borderId="0" xfId="0" applyNumberFormat="1" applyFont="1"/>
    <xf numFmtId="0" fontId="20" fillId="2" borderId="0" xfId="0" applyFont="1" applyFill="1" applyBorder="1" applyAlignment="1">
      <alignment horizontal="left" vertical="center" wrapText="1"/>
    </xf>
    <xf numFmtId="0" fontId="7" fillId="2" borderId="0" xfId="0" applyFont="1" applyFill="1" applyBorder="1" applyAlignment="1">
      <alignment vertical="center" wrapText="1"/>
    </xf>
    <xf numFmtId="0" fontId="7" fillId="2" borderId="0" xfId="0" applyFont="1" applyFill="1"/>
    <xf numFmtId="0" fontId="16" fillId="2" borderId="0" xfId="0" applyFont="1" applyFill="1" applyBorder="1" applyAlignment="1">
      <alignment horizontal="right" vertical="center" wrapText="1"/>
    </xf>
    <xf numFmtId="0" fontId="16" fillId="2" borderId="0" xfId="0" applyFont="1" applyFill="1"/>
    <xf numFmtId="0" fontId="2" fillId="0" borderId="0" xfId="0" applyFont="1" applyAlignment="1">
      <alignment horizontal="left"/>
    </xf>
    <xf numFmtId="0" fontId="22" fillId="0" borderId="0" xfId="0" quotePrefix="1" applyFont="1"/>
    <xf numFmtId="2" fontId="22" fillId="0" borderId="0" xfId="0" applyNumberFormat="1" applyFont="1"/>
    <xf numFmtId="0" fontId="3" fillId="0" borderId="0" xfId="0" applyFont="1" applyAlignment="1">
      <alignment wrapText="1"/>
    </xf>
    <xf numFmtId="0" fontId="3" fillId="0" borderId="0" xfId="0" applyFont="1" applyAlignment="1"/>
    <xf numFmtId="0" fontId="1" fillId="0" borderId="0" xfId="0" applyFont="1" applyAlignment="1"/>
    <xf numFmtId="0" fontId="1" fillId="0" borderId="0" xfId="0" applyFont="1" applyAlignment="1">
      <alignment wrapText="1"/>
    </xf>
    <xf numFmtId="0" fontId="16" fillId="0" borderId="0" xfId="0" quotePrefix="1" applyFont="1" applyAlignment="1">
      <alignment wrapText="1"/>
    </xf>
    <xf numFmtId="167" fontId="1" fillId="0" borderId="0" xfId="0" applyNumberFormat="1" applyFont="1"/>
    <xf numFmtId="2" fontId="1" fillId="0" borderId="0" xfId="0" applyNumberFormat="1" applyFont="1"/>
    <xf numFmtId="0" fontId="32" fillId="0" borderId="0" xfId="0" applyFont="1"/>
    <xf numFmtId="0" fontId="33" fillId="0" borderId="0" xfId="0" applyFont="1"/>
    <xf numFmtId="0" fontId="34" fillId="0" borderId="0" xfId="0" applyFont="1"/>
    <xf numFmtId="0" fontId="5" fillId="0" borderId="0" xfId="1" applyFont="1" applyFill="1"/>
    <xf numFmtId="0" fontId="5" fillId="0" borderId="0" xfId="0" applyFont="1" applyFill="1" applyAlignment="1">
      <alignment horizontal="left"/>
    </xf>
    <xf numFmtId="0" fontId="5" fillId="0" borderId="0" xfId="0" applyFont="1" applyFill="1" applyBorder="1" applyAlignment="1">
      <alignment horizontal="left"/>
    </xf>
    <xf numFmtId="164" fontId="5" fillId="0" borderId="0" xfId="1" applyNumberFormat="1" applyFont="1" applyFill="1"/>
    <xf numFmtId="169" fontId="5" fillId="0" borderId="0" xfId="1" applyNumberFormat="1" applyFont="1" applyFill="1"/>
    <xf numFmtId="0" fontId="3" fillId="0" borderId="0" xfId="0" applyFont="1" applyFill="1" applyAlignment="1">
      <alignment horizontal="right"/>
    </xf>
    <xf numFmtId="164" fontId="4" fillId="0" borderId="0" xfId="0" applyNumberFormat="1" applyFont="1" applyFill="1"/>
    <xf numFmtId="164" fontId="6" fillId="0" borderId="0" xfId="0" applyNumberFormat="1" applyFont="1" applyFill="1"/>
    <xf numFmtId="165" fontId="4" fillId="0" borderId="0" xfId="0" applyNumberFormat="1" applyFont="1" applyFill="1"/>
    <xf numFmtId="0" fontId="4" fillId="0" borderId="0" xfId="0" applyFont="1" applyFill="1" applyAlignment="1">
      <alignment horizontal="right"/>
    </xf>
    <xf numFmtId="0" fontId="5" fillId="0" borderId="0" xfId="1" applyFont="1" applyFill="1" applyAlignment="1">
      <alignment horizontal="right"/>
    </xf>
    <xf numFmtId="0" fontId="4" fillId="0" borderId="0" xfId="0" applyFont="1" applyFill="1" applyAlignment="1">
      <alignment horizontal="left"/>
    </xf>
    <xf numFmtId="165" fontId="7" fillId="0" borderId="0" xfId="0" applyNumberFormat="1" applyFont="1" applyFill="1"/>
    <xf numFmtId="0" fontId="7" fillId="0" borderId="0" xfId="0" applyFont="1" applyFill="1"/>
    <xf numFmtId="165" fontId="16" fillId="0" borderId="0" xfId="0" applyNumberFormat="1" applyFont="1"/>
    <xf numFmtId="165" fontId="34" fillId="2" borderId="0" xfId="0" applyNumberFormat="1" applyFont="1" applyFill="1"/>
    <xf numFmtId="0" fontId="31" fillId="0" borderId="0" xfId="0" applyFont="1"/>
    <xf numFmtId="169" fontId="16" fillId="0" borderId="0" xfId="0" applyNumberFormat="1" applyFont="1"/>
    <xf numFmtId="169" fontId="2" fillId="0" borderId="0" xfId="0" applyNumberFormat="1" applyFont="1"/>
    <xf numFmtId="0" fontId="34" fillId="0" borderId="0" xfId="0" applyFont="1" applyFill="1" applyAlignment="1">
      <alignment horizontal="right"/>
    </xf>
    <xf numFmtId="0" fontId="19" fillId="0" borderId="0" xfId="1" applyFont="1" applyFill="1" applyAlignment="1">
      <alignment horizontal="left"/>
    </xf>
    <xf numFmtId="0" fontId="19" fillId="0" borderId="0" xfId="1" applyFont="1" applyFill="1"/>
    <xf numFmtId="165" fontId="19" fillId="0" borderId="0" xfId="17" applyNumberFormat="1" applyFont="1" applyFill="1"/>
    <xf numFmtId="0" fontId="19" fillId="0" borderId="0" xfId="1" applyFont="1" applyFill="1" applyAlignment="1">
      <alignment horizontal="right"/>
    </xf>
    <xf numFmtId="165" fontId="19" fillId="0" borderId="0" xfId="1" applyNumberFormat="1" applyFont="1" applyFill="1"/>
    <xf numFmtId="165" fontId="19" fillId="0" borderId="0" xfId="3" applyNumberFormat="1" applyFont="1" applyFill="1"/>
    <xf numFmtId="0" fontId="37" fillId="0" borderId="0" xfId="0" applyFont="1"/>
    <xf numFmtId="0" fontId="5" fillId="0" borderId="0" xfId="1" applyFont="1" applyFill="1" applyAlignment="1">
      <alignment horizontal="left"/>
    </xf>
    <xf numFmtId="0" fontId="19" fillId="0" borderId="0" xfId="1" applyFont="1"/>
    <xf numFmtId="165" fontId="19" fillId="0" borderId="0" xfId="1" applyNumberFormat="1" applyFont="1"/>
    <xf numFmtId="165" fontId="5" fillId="0" borderId="0" xfId="0" applyNumberFormat="1" applyFont="1" applyBorder="1"/>
    <xf numFmtId="4" fontId="1" fillId="0" borderId="0" xfId="0" applyNumberFormat="1" applyFont="1"/>
    <xf numFmtId="2" fontId="6" fillId="0" borderId="0" xfId="0" applyNumberFormat="1" applyFont="1"/>
    <xf numFmtId="0" fontId="1" fillId="0" borderId="0" xfId="0" quotePrefix="1" applyFont="1" applyAlignment="1">
      <alignment wrapText="1"/>
    </xf>
    <xf numFmtId="0" fontId="38" fillId="0" borderId="0" xfId="0" applyFont="1" applyFill="1"/>
    <xf numFmtId="164" fontId="38" fillId="0" borderId="0" xfId="0" applyNumberFormat="1" applyFont="1" applyFill="1"/>
    <xf numFmtId="0" fontId="38" fillId="0" borderId="0" xfId="0" applyFont="1"/>
    <xf numFmtId="0" fontId="38" fillId="0" borderId="0" xfId="0" applyFont="1" applyAlignment="1">
      <alignment horizontal="right"/>
    </xf>
    <xf numFmtId="164" fontId="38" fillId="0" borderId="0" xfId="0" applyNumberFormat="1" applyFont="1"/>
    <xf numFmtId="0" fontId="39" fillId="0" borderId="0" xfId="0" applyFont="1" applyFill="1" applyAlignment="1">
      <alignment horizontal="right"/>
    </xf>
    <xf numFmtId="164" fontId="39" fillId="0" borderId="0" xfId="0" applyNumberFormat="1" applyFont="1" applyFill="1"/>
    <xf numFmtId="0" fontId="39" fillId="0" borderId="0" xfId="0" applyFont="1" applyFill="1"/>
    <xf numFmtId="0" fontId="38" fillId="0" borderId="0" xfId="12" applyFont="1" applyFill="1" applyBorder="1"/>
    <xf numFmtId="169" fontId="5" fillId="0" borderId="0" xfId="0" applyNumberFormat="1" applyFont="1" applyFill="1"/>
    <xf numFmtId="165" fontId="41" fillId="0" borderId="0" xfId="1" applyNumberFormat="1" applyFont="1" applyFill="1"/>
    <xf numFmtId="164" fontId="2" fillId="0" borderId="0" xfId="0" applyNumberFormat="1" applyFont="1" applyFill="1"/>
    <xf numFmtId="0" fontId="5" fillId="0" borderId="0" xfId="0" applyFont="1" applyFill="1" applyBorder="1" applyAlignment="1">
      <alignment horizontal="left" vertical="center" wrapText="1"/>
    </xf>
    <xf numFmtId="165" fontId="5" fillId="0" borderId="0" xfId="0" applyNumberFormat="1" applyFont="1" applyFill="1" applyBorder="1" applyAlignment="1">
      <alignment horizontal="right" wrapText="1"/>
    </xf>
    <xf numFmtId="0" fontId="5" fillId="0" borderId="0" xfId="0" applyFont="1" applyFill="1" applyBorder="1" applyAlignment="1">
      <alignment horizontal="right"/>
    </xf>
    <xf numFmtId="0" fontId="4" fillId="0" borderId="0" xfId="0" applyFont="1" applyFill="1" applyBorder="1" applyAlignment="1">
      <alignment horizontal="left" vertical="center" wrapText="1"/>
    </xf>
    <xf numFmtId="164" fontId="2" fillId="0" borderId="0" xfId="15" applyNumberFormat="1" applyFont="1" applyFill="1"/>
    <xf numFmtId="3" fontId="4" fillId="0" borderId="0" xfId="0" applyNumberFormat="1" applyFont="1"/>
    <xf numFmtId="0" fontId="5" fillId="0" borderId="0" xfId="12" applyFont="1" applyFill="1" applyBorder="1"/>
    <xf numFmtId="43" fontId="16" fillId="0" borderId="0" xfId="31" applyFont="1"/>
    <xf numFmtId="172" fontId="16" fillId="0" borderId="0" xfId="31" applyNumberFormat="1" applyFont="1" applyFill="1" applyBorder="1" applyAlignment="1">
      <alignment horizontal="right" vertical="center" wrapText="1"/>
    </xf>
    <xf numFmtId="0" fontId="6" fillId="0" borderId="0" xfId="12" applyFont="1" applyFill="1" applyBorder="1"/>
    <xf numFmtId="0" fontId="6" fillId="0" borderId="0" xfId="0" applyFont="1" applyFill="1"/>
    <xf numFmtId="0" fontId="44" fillId="0" borderId="0" xfId="1" applyFont="1" applyFill="1"/>
    <xf numFmtId="164" fontId="44" fillId="0" borderId="0" xfId="1" applyNumberFormat="1" applyFont="1" applyFill="1"/>
    <xf numFmtId="169" fontId="44" fillId="0" borderId="0" xfId="1" applyNumberFormat="1" applyFont="1" applyFill="1"/>
    <xf numFmtId="0" fontId="45" fillId="0" borderId="0" xfId="0" applyFont="1" applyFill="1" applyAlignment="1">
      <alignment horizontal="right"/>
    </xf>
    <xf numFmtId="164" fontId="43" fillId="0" borderId="0" xfId="0" applyNumberFormat="1" applyFont="1" applyFill="1"/>
    <xf numFmtId="0" fontId="43" fillId="0" borderId="0" xfId="0" applyFont="1" applyFill="1"/>
    <xf numFmtId="0" fontId="5" fillId="0" borderId="0" xfId="1" quotePrefix="1" applyFont="1" applyFill="1" applyAlignment="1">
      <alignment horizontal="left"/>
    </xf>
    <xf numFmtId="1" fontId="5" fillId="0" borderId="0" xfId="1" applyNumberFormat="1" applyFont="1" applyFill="1"/>
    <xf numFmtId="0" fontId="5" fillId="0" borderId="0" xfId="12" applyFont="1" applyFill="1" applyBorder="1" applyAlignment="1">
      <alignment horizontal="left"/>
    </xf>
    <xf numFmtId="165" fontId="5" fillId="0" borderId="0" xfId="12" applyNumberFormat="1" applyFont="1" applyFill="1" applyBorder="1" applyAlignment="1">
      <alignment horizontal="right" wrapText="1"/>
    </xf>
    <xf numFmtId="1" fontId="5" fillId="0" borderId="0" xfId="0" applyNumberFormat="1" applyFont="1" applyFill="1"/>
    <xf numFmtId="0" fontId="46" fillId="0" borderId="0" xfId="0" applyFont="1" applyFill="1" applyAlignment="1">
      <alignment horizontal="left"/>
    </xf>
    <xf numFmtId="0" fontId="46" fillId="0" borderId="0" xfId="0" applyFont="1" applyFill="1"/>
    <xf numFmtId="164" fontId="46" fillId="0" borderId="0" xfId="0" applyNumberFormat="1" applyFont="1" applyFill="1"/>
    <xf numFmtId="164" fontId="5" fillId="0" borderId="0" xfId="0" applyNumberFormat="1" applyFont="1" applyFill="1" applyBorder="1"/>
    <xf numFmtId="0" fontId="46" fillId="0" borderId="0" xfId="0" applyFont="1" applyFill="1" applyBorder="1" applyAlignment="1">
      <alignment horizontal="left"/>
    </xf>
    <xf numFmtId="164" fontId="46" fillId="0" borderId="0" xfId="0" applyNumberFormat="1" applyFont="1" applyFill="1" applyBorder="1"/>
    <xf numFmtId="0" fontId="46" fillId="0" borderId="0" xfId="0" applyFont="1"/>
    <xf numFmtId="0" fontId="47" fillId="0" borderId="0" xfId="0" applyFont="1" applyAlignment="1"/>
    <xf numFmtId="165" fontId="23" fillId="0" borderId="0" xfId="0" applyNumberFormat="1" applyFont="1"/>
    <xf numFmtId="0" fontId="12" fillId="0" borderId="0" xfId="3"/>
    <xf numFmtId="0" fontId="62" fillId="0" borderId="0" xfId="33" applyNumberFormat="1" applyFont="1" applyBorder="1" applyAlignment="1">
      <alignment vertical="center" wrapText="1"/>
    </xf>
    <xf numFmtId="0" fontId="62" fillId="0" borderId="0" xfId="33" applyNumberFormat="1" applyFont="1" applyFill="1" applyBorder="1" applyAlignment="1">
      <alignment vertical="center" wrapText="1"/>
    </xf>
    <xf numFmtId="165" fontId="62" fillId="0" borderId="0" xfId="33" applyNumberFormat="1" applyFont="1" applyFill="1" applyBorder="1" applyAlignment="1">
      <alignment vertical="center" wrapText="1"/>
    </xf>
    <xf numFmtId="0" fontId="62" fillId="0" borderId="0" xfId="33" applyNumberFormat="1" applyFont="1" applyBorder="1" applyAlignment="1">
      <alignment vertical="center"/>
    </xf>
    <xf numFmtId="3" fontId="38" fillId="0" borderId="0" xfId="0" applyNumberFormat="1" applyFont="1"/>
    <xf numFmtId="164" fontId="5" fillId="0" borderId="0" xfId="12" applyNumberFormat="1" applyFont="1" applyFill="1" applyBorder="1" applyAlignment="1">
      <alignment horizontal="right"/>
    </xf>
    <xf numFmtId="164" fontId="5" fillId="0" borderId="0" xfId="12" applyNumberFormat="1" applyFont="1" applyFill="1" applyBorder="1" applyAlignment="1">
      <alignment horizontal="right" wrapText="1"/>
    </xf>
    <xf numFmtId="164" fontId="5" fillId="0" borderId="0" xfId="0" applyNumberFormat="1" applyFont="1" applyFill="1" applyAlignment="1">
      <alignment horizontal="right"/>
    </xf>
    <xf numFmtId="9" fontId="5" fillId="0" borderId="0" xfId="0" applyNumberFormat="1" applyFont="1" applyFill="1"/>
    <xf numFmtId="165" fontId="126" fillId="0" borderId="0" xfId="1" applyNumberFormat="1" applyFont="1" applyFill="1"/>
    <xf numFmtId="0" fontId="126" fillId="0" borderId="0" xfId="1" applyFont="1" applyFill="1" applyAlignment="1">
      <alignment horizontal="left"/>
    </xf>
    <xf numFmtId="0" fontId="126" fillId="0" borderId="0" xfId="1" applyFont="1" applyFill="1"/>
    <xf numFmtId="165" fontId="126" fillId="0" borderId="0" xfId="3" applyNumberFormat="1" applyFont="1" applyFill="1"/>
    <xf numFmtId="0" fontId="6" fillId="0" borderId="0" xfId="0" applyFont="1" applyFill="1" applyAlignment="1">
      <alignment horizontal="right"/>
    </xf>
    <xf numFmtId="0" fontId="6" fillId="0" borderId="0" xfId="1" applyFont="1" applyFill="1"/>
    <xf numFmtId="0" fontId="23" fillId="0" borderId="0" xfId="0" applyFont="1" applyFill="1" applyAlignment="1">
      <alignment horizontal="right"/>
    </xf>
    <xf numFmtId="164" fontId="23" fillId="0" borderId="0" xfId="0" applyNumberFormat="1" applyFont="1" applyFill="1"/>
    <xf numFmtId="0" fontId="23" fillId="0" borderId="0" xfId="0" applyFont="1" applyFill="1"/>
    <xf numFmtId="0" fontId="126" fillId="0" borderId="0" xfId="1" applyFont="1" applyFill="1" applyAlignment="1">
      <alignment horizontal="right"/>
    </xf>
    <xf numFmtId="0" fontId="42" fillId="0" borderId="0" xfId="0" applyFont="1"/>
    <xf numFmtId="1" fontId="5" fillId="0" borderId="0" xfId="0" applyNumberFormat="1" applyFont="1"/>
    <xf numFmtId="2" fontId="5" fillId="0" borderId="0" xfId="0" applyNumberFormat="1" applyFont="1" applyFill="1"/>
    <xf numFmtId="169" fontId="3" fillId="0" borderId="0" xfId="0" applyNumberFormat="1" applyFont="1"/>
    <xf numFmtId="1" fontId="3" fillId="0" borderId="0" xfId="0" applyNumberFormat="1" applyFont="1"/>
    <xf numFmtId="169" fontId="19" fillId="0" borderId="0" xfId="1" applyNumberFormat="1" applyFont="1" applyFill="1"/>
    <xf numFmtId="0" fontId="19" fillId="0" borderId="0" xfId="1" applyFont="1" applyFill="1" applyAlignment="1">
      <alignment wrapText="1"/>
    </xf>
    <xf numFmtId="0" fontId="9" fillId="0" borderId="0" xfId="1" applyFont="1"/>
    <xf numFmtId="0" fontId="127" fillId="0" borderId="0" xfId="1" applyFont="1" applyFill="1" applyAlignment="1">
      <alignment horizontal="left"/>
    </xf>
    <xf numFmtId="0" fontId="127" fillId="0" borderId="0" xfId="1" applyFont="1" applyFill="1"/>
    <xf numFmtId="0" fontId="127" fillId="0" borderId="0" xfId="1" applyFont="1" applyFill="1" applyAlignment="1">
      <alignment horizontal="right"/>
    </xf>
    <xf numFmtId="0" fontId="2" fillId="0" borderId="0" xfId="1" applyFont="1" applyFill="1"/>
    <xf numFmtId="16" fontId="5" fillId="0" borderId="0" xfId="12" quotePrefix="1" applyNumberFormat="1" applyFont="1" applyFill="1" applyBorder="1" applyAlignment="1">
      <alignment horizontal="left"/>
    </xf>
    <xf numFmtId="0" fontId="1" fillId="0" borderId="0" xfId="0" applyFont="1" applyAlignment="1">
      <alignment horizontal="left"/>
    </xf>
    <xf numFmtId="179" fontId="16" fillId="0" borderId="0" xfId="31" applyNumberFormat="1" applyFont="1" applyFill="1" applyBorder="1" applyAlignment="1">
      <alignment horizontal="right" vertical="center" wrapText="1"/>
    </xf>
    <xf numFmtId="167" fontId="7" fillId="0" borderId="0" xfId="0" applyNumberFormat="1" applyFont="1"/>
    <xf numFmtId="0" fontId="129" fillId="0" borderId="0" xfId="0" applyFont="1"/>
    <xf numFmtId="1" fontId="19" fillId="0" borderId="0" xfId="1" applyNumberFormat="1" applyFont="1" applyFill="1"/>
    <xf numFmtId="0" fontId="2" fillId="2" borderId="0" xfId="1" applyFont="1" applyFill="1" applyAlignment="1">
      <alignment horizontal="left"/>
    </xf>
    <xf numFmtId="0" fontId="1" fillId="0" borderId="0" xfId="0" quotePrefix="1" applyFont="1" applyAlignment="1">
      <alignment horizontal="left" vertical="center" wrapText="1"/>
    </xf>
    <xf numFmtId="0" fontId="7" fillId="0" borderId="0" xfId="0" applyFont="1" applyAlignment="1">
      <alignment horizontal="left"/>
    </xf>
    <xf numFmtId="0" fontId="9" fillId="0" borderId="0" xfId="1"/>
    <xf numFmtId="0" fontId="7" fillId="0" borderId="0" xfId="0" applyFont="1" applyAlignment="1">
      <alignment horizontal="left" vertical="top"/>
    </xf>
    <xf numFmtId="169" fontId="1" fillId="0" borderId="0" xfId="0" applyNumberFormat="1" applyFont="1"/>
    <xf numFmtId="0" fontId="1" fillId="0" borderId="0" xfId="0" applyFont="1" applyAlignment="1">
      <alignment vertical="justify" wrapText="1"/>
    </xf>
    <xf numFmtId="169" fontId="7" fillId="0" borderId="0" xfId="0" applyNumberFormat="1" applyFont="1"/>
    <xf numFmtId="179" fontId="7" fillId="0" borderId="0" xfId="31" applyNumberFormat="1" applyFont="1"/>
    <xf numFmtId="180" fontId="31" fillId="0" borderId="0" xfId="0" applyNumberFormat="1" applyFont="1"/>
    <xf numFmtId="0" fontId="9" fillId="0" borderId="0" xfId="1"/>
    <xf numFmtId="179" fontId="3" fillId="0" borderId="0" xfId="31" applyNumberFormat="1" applyFont="1"/>
    <xf numFmtId="179" fontId="31" fillId="0" borderId="0" xfId="0" applyNumberFormat="1" applyFont="1"/>
    <xf numFmtId="0" fontId="19" fillId="0" borderId="0" xfId="0" applyFont="1" applyAlignment="1">
      <alignment vertical="center" wrapText="1"/>
    </xf>
    <xf numFmtId="181" fontId="22" fillId="0" borderId="0" xfId="449" applyNumberFormat="1" applyFont="1"/>
    <xf numFmtId="9" fontId="17" fillId="0" borderId="0" xfId="449" applyFont="1"/>
    <xf numFmtId="0" fontId="1" fillId="0" borderId="0" xfId="0" applyFont="1" applyBorder="1" applyAlignment="1">
      <alignment horizontal="left" vertical="center" wrapText="1"/>
    </xf>
    <xf numFmtId="1" fontId="1" fillId="0" borderId="0" xfId="0" applyNumberFormat="1" applyFont="1"/>
    <xf numFmtId="0" fontId="131" fillId="0" borderId="0" xfId="27" applyFont="1"/>
    <xf numFmtId="0" fontId="1" fillId="0" borderId="0" xfId="0" quotePrefix="1" applyFont="1" applyAlignment="1">
      <alignment horizontal="left" vertical="center" wrapText="1"/>
    </xf>
    <xf numFmtId="0" fontId="3" fillId="0" borderId="0" xfId="0" applyFont="1" applyAlignment="1">
      <alignment wrapText="1"/>
    </xf>
    <xf numFmtId="0" fontId="1" fillId="0" borderId="0" xfId="0" quotePrefix="1" applyFont="1" applyAlignment="1">
      <alignment vertical="center" wrapText="1"/>
    </xf>
    <xf numFmtId="0" fontId="3" fillId="0" borderId="0" xfId="0" applyFont="1" applyAlignment="1"/>
    <xf numFmtId="0" fontId="1" fillId="0" borderId="0" xfId="0" quotePrefix="1" applyFont="1" applyAlignment="1">
      <alignment wrapText="1"/>
    </xf>
    <xf numFmtId="9" fontId="1" fillId="0" borderId="0" xfId="449" applyFont="1"/>
  </cellXfs>
  <cellStyles count="450">
    <cellStyle name="******************************************" xfId="35"/>
    <cellStyle name="20% - Accent1 2" xfId="36"/>
    <cellStyle name="20% - Accent1 3" xfId="37"/>
    <cellStyle name="20% - Accent2 2" xfId="38"/>
    <cellStyle name="20% - Accent2 3" xfId="39"/>
    <cellStyle name="20% - Accent3 2" xfId="40"/>
    <cellStyle name="20% - Accent3 3" xfId="41"/>
    <cellStyle name="20% - Accent4 2" xfId="42"/>
    <cellStyle name="20% - Accent4 3" xfId="43"/>
    <cellStyle name="20% - Accent5 2" xfId="44"/>
    <cellStyle name="20% - Accent5 3" xfId="45"/>
    <cellStyle name="20% - Accent6 2" xfId="46"/>
    <cellStyle name="20% - Accent6 3" xfId="47"/>
    <cellStyle name="40% - Accent1 2" xfId="48"/>
    <cellStyle name="40% - Accent1 3" xfId="49"/>
    <cellStyle name="40% - Accent2 2" xfId="50"/>
    <cellStyle name="40% - Accent2 3" xfId="51"/>
    <cellStyle name="40% - Accent3 2" xfId="52"/>
    <cellStyle name="40% - Accent3 3" xfId="53"/>
    <cellStyle name="40% - Accent4 2" xfId="54"/>
    <cellStyle name="40% - Accent4 3" xfId="55"/>
    <cellStyle name="40% - Accent5 2" xfId="56"/>
    <cellStyle name="40% - Accent5 3" xfId="57"/>
    <cellStyle name="40% - Accent6 2" xfId="58"/>
    <cellStyle name="40% - Accent6 3" xfId="59"/>
    <cellStyle name="60% - Accent1 2" xfId="60"/>
    <cellStyle name="60% - Accent1 3" xfId="61"/>
    <cellStyle name="60% - Accent2 2" xfId="62"/>
    <cellStyle name="60% - Accent2 3" xfId="63"/>
    <cellStyle name="60% - Accent3 2" xfId="64"/>
    <cellStyle name="60% - Accent3 3" xfId="65"/>
    <cellStyle name="60% - Accent4 2" xfId="66"/>
    <cellStyle name="60% - Accent4 3" xfId="67"/>
    <cellStyle name="60% - Accent5 2" xfId="68"/>
    <cellStyle name="60% - Accent5 3" xfId="69"/>
    <cellStyle name="60% - Accent6 2" xfId="70"/>
    <cellStyle name="60% - Accent6 3" xfId="71"/>
    <cellStyle name="Accent1 2" xfId="72"/>
    <cellStyle name="Accent1 3" xfId="73"/>
    <cellStyle name="Accent2 2" xfId="74"/>
    <cellStyle name="Accent2 3" xfId="75"/>
    <cellStyle name="Accent3 2" xfId="76"/>
    <cellStyle name="Accent3 3" xfId="77"/>
    <cellStyle name="Accent4 2" xfId="78"/>
    <cellStyle name="Accent4 3" xfId="79"/>
    <cellStyle name="Accent5 2" xfId="80"/>
    <cellStyle name="Accent5 3" xfId="81"/>
    <cellStyle name="Accent6 2" xfId="82"/>
    <cellStyle name="Accent6 3" xfId="83"/>
    <cellStyle name="Bad 2" xfId="84"/>
    <cellStyle name="BEPAALD" xfId="4"/>
    <cellStyle name="BEPAALD 2" xfId="85"/>
    <cellStyle name="Berekening 2" xfId="86"/>
    <cellStyle name="Berekening 3" xfId="87"/>
    <cellStyle name="bin" xfId="88"/>
    <cellStyle name="blue" xfId="89"/>
    <cellStyle name="Ç¥ÁØ_ENRL2" xfId="90"/>
    <cellStyle name="Calculation 2" xfId="91"/>
    <cellStyle name="cell" xfId="92"/>
    <cellStyle name="Check Cell 2" xfId="93"/>
    <cellStyle name="Code additions" xfId="94"/>
    <cellStyle name="Col&amp;RowHeadings" xfId="95"/>
    <cellStyle name="ColCodes" xfId="96"/>
    <cellStyle name="ColTitles" xfId="97"/>
    <cellStyle name="column" xfId="98"/>
    <cellStyle name="Comma" xfId="31" builtinId="3"/>
    <cellStyle name="Comma 2" xfId="99"/>
    <cellStyle name="Comma 3" xfId="32"/>
    <cellStyle name="Controlecel 2" xfId="100"/>
    <cellStyle name="Controlecel 3" xfId="101"/>
    <cellStyle name="DataEntryCells" xfId="102"/>
    <cellStyle name="DATUM" xfId="5"/>
    <cellStyle name="Datum 2" xfId="104"/>
    <cellStyle name="Datum 3" xfId="103"/>
    <cellStyle name="Dezimal [0]_DIAGRAM" xfId="105"/>
    <cellStyle name="Dezimal_DIAGRAM" xfId="106"/>
    <cellStyle name="Didier" xfId="107"/>
    <cellStyle name="Didier - Title" xfId="108"/>
    <cellStyle name="Didier subtitles" xfId="109"/>
    <cellStyle name="ErrRpt_DataEntryCells" xfId="110"/>
    <cellStyle name="ErrRpt-DataEntryCells" xfId="111"/>
    <cellStyle name="ErrRpt-GreyBackground" xfId="112"/>
    <cellStyle name="Euro" xfId="13"/>
    <cellStyle name="Euro 2" xfId="113"/>
    <cellStyle name="Explanatory Text 2" xfId="114"/>
    <cellStyle name="F2" xfId="18"/>
    <cellStyle name="F2 2" xfId="115"/>
    <cellStyle name="F3" xfId="23"/>
    <cellStyle name="F3 2" xfId="116"/>
    <cellStyle name="F4" xfId="19"/>
    <cellStyle name="F4 2" xfId="117"/>
    <cellStyle name="F5" xfId="20"/>
    <cellStyle name="F5 2" xfId="118"/>
    <cellStyle name="F6" xfId="21"/>
    <cellStyle name="F6 2" xfId="119"/>
    <cellStyle name="F7" xfId="16"/>
    <cellStyle name="F7 2" xfId="120"/>
    <cellStyle name="F8" xfId="22"/>
    <cellStyle name="F8 2" xfId="121"/>
    <cellStyle name="formula" xfId="122"/>
    <cellStyle name="gap" xfId="123"/>
    <cellStyle name="Gekoppelde cel 2" xfId="124"/>
    <cellStyle name="Gekoppelde cel 3" xfId="125"/>
    <cellStyle name="Goed 2" xfId="126"/>
    <cellStyle name="Goed 3" xfId="127"/>
    <cellStyle name="Good 2" xfId="128"/>
    <cellStyle name="Grey_background" xfId="129"/>
    <cellStyle name="GreyBackground" xfId="130"/>
    <cellStyle name="Header" xfId="131"/>
    <cellStyle name="Heading 1 2" xfId="132"/>
    <cellStyle name="Heading 2 2" xfId="133"/>
    <cellStyle name="Heading 3 2" xfId="134"/>
    <cellStyle name="Heading 4 2" xfId="135"/>
    <cellStyle name="Hipervínculo" xfId="136"/>
    <cellStyle name="Hipervínculo visitado" xfId="137"/>
    <cellStyle name="Hyperlink" xfId="27" builtinId="8"/>
    <cellStyle name="Input 2" xfId="138"/>
    <cellStyle name="Invoer 2" xfId="139"/>
    <cellStyle name="Invoer 3" xfId="140"/>
    <cellStyle name="ISC" xfId="141"/>
    <cellStyle name="isced" xfId="142"/>
    <cellStyle name="ISCED Titles" xfId="143"/>
    <cellStyle name="isced_8gradk" xfId="144"/>
    <cellStyle name="Komma 10" xfId="145"/>
    <cellStyle name="Komma 11" xfId="146"/>
    <cellStyle name="Komma 12" xfId="147"/>
    <cellStyle name="Komma 13" xfId="148"/>
    <cellStyle name="Komma 14" xfId="149"/>
    <cellStyle name="Komma 15" xfId="150"/>
    <cellStyle name="Komma 2" xfId="151"/>
    <cellStyle name="Komma 2 2" xfId="152"/>
    <cellStyle name="Komma 2 2 2" xfId="153"/>
    <cellStyle name="Komma 2 3" xfId="154"/>
    <cellStyle name="Komma 3" xfId="155"/>
    <cellStyle name="Komma 3 2" xfId="156"/>
    <cellStyle name="Komma 4" xfId="157"/>
    <cellStyle name="Komma 5" xfId="158"/>
    <cellStyle name="Komma 5 2" xfId="159"/>
    <cellStyle name="Komma 5 3" xfId="160"/>
    <cellStyle name="Komma 5 4" xfId="161"/>
    <cellStyle name="Komma 6" xfId="162"/>
    <cellStyle name="Komma 7" xfId="163"/>
    <cellStyle name="Komma 7 2" xfId="164"/>
    <cellStyle name="Komma 8" xfId="165"/>
    <cellStyle name="Komma 9" xfId="166"/>
    <cellStyle name="Komma0" xfId="167"/>
    <cellStyle name="Komma0 - Opmaakprofiel3" xfId="168"/>
    <cellStyle name="Komma0 2" xfId="169"/>
    <cellStyle name="Komma0_20110503 opzet output" xfId="170"/>
    <cellStyle name="Komma1" xfId="171"/>
    <cellStyle name="Komma1 - Opmaakprofiel1" xfId="172"/>
    <cellStyle name="Kop 1 2" xfId="173"/>
    <cellStyle name="Kop 2 2" xfId="174"/>
    <cellStyle name="Kop 3 2" xfId="175"/>
    <cellStyle name="Kop 4 2" xfId="176"/>
    <cellStyle name="KOP1" xfId="6"/>
    <cellStyle name="KOP1 2" xfId="177"/>
    <cellStyle name="KOP2" xfId="7"/>
    <cellStyle name="KOP2 2" xfId="178"/>
    <cellStyle name="Koptekst 1" xfId="179"/>
    <cellStyle name="Koptekst 2" xfId="180"/>
    <cellStyle name="level1a" xfId="181"/>
    <cellStyle name="level2" xfId="182"/>
    <cellStyle name="level2a" xfId="183"/>
    <cellStyle name="level3" xfId="184"/>
    <cellStyle name="Line titles-Rows" xfId="185"/>
    <cellStyle name="Linked Cell 2" xfId="186"/>
    <cellStyle name="Migliaia (0)_conti99" xfId="187"/>
    <cellStyle name="MUNT" xfId="8"/>
    <cellStyle name="MUNT 2" xfId="188"/>
    <cellStyle name="Neutraal 2" xfId="189"/>
    <cellStyle name="Neutraal 3" xfId="190"/>
    <cellStyle name="Neutral 2" xfId="29"/>
    <cellStyle name="Neutral 3" xfId="191"/>
    <cellStyle name="Normaa" xfId="192"/>
    <cellStyle name="Normaal" xfId="2"/>
    <cellStyle name="Normaal 2" xfId="193"/>
    <cellStyle name="Normal" xfId="0" builtinId="0"/>
    <cellStyle name="Normal 2" xfId="1"/>
    <cellStyle name="Normal 2 2" xfId="3"/>
    <cellStyle name="Normal 3" xfId="12"/>
    <cellStyle name="Normal 3 2" xfId="17"/>
    <cellStyle name="Normal 3 2 2" xfId="195"/>
    <cellStyle name="Normal 3 3" xfId="26"/>
    <cellStyle name="Normal 3 4" xfId="24"/>
    <cellStyle name="Normal 3 5" xfId="194"/>
    <cellStyle name="Normal 4" xfId="28"/>
    <cellStyle name="Normal 4 2" xfId="196"/>
    <cellStyle name="Normál_8gradk" xfId="197"/>
    <cellStyle name="Note 2" xfId="198"/>
    <cellStyle name="Notitie 2" xfId="199"/>
    <cellStyle name="Notitie 3" xfId="200"/>
    <cellStyle name="Notitie 4" xfId="201"/>
    <cellStyle name="Notitie 5" xfId="202"/>
    <cellStyle name="Ongeldig 2" xfId="203"/>
    <cellStyle name="Ongeldig 3" xfId="204"/>
    <cellStyle name="Output 2" xfId="205"/>
    <cellStyle name="Percent" xfId="449" builtinId="5"/>
    <cellStyle name="Percent 2" xfId="14"/>
    <cellStyle name="Percent 3" xfId="30"/>
    <cellStyle name="Procen - Opmaakprofiel2" xfId="206"/>
    <cellStyle name="Procent 2" xfId="207"/>
    <cellStyle name="Procent 3" xfId="208"/>
    <cellStyle name="Procent 3 2" xfId="209"/>
    <cellStyle name="Procent 4" xfId="210"/>
    <cellStyle name="Procent 4 2" xfId="211"/>
    <cellStyle name="Prozent_SubCatperStud" xfId="212"/>
    <cellStyle name="PUNT" xfId="9"/>
    <cellStyle name="PUNT 2" xfId="213"/>
    <cellStyle name="row" xfId="214"/>
    <cellStyle name="RowCodes" xfId="215"/>
    <cellStyle name="Row-Col Headings" xfId="216"/>
    <cellStyle name="RowTitles" xfId="217"/>
    <cellStyle name="RowTitles1-Detail" xfId="218"/>
    <cellStyle name="RowTitles-Col2" xfId="219"/>
    <cellStyle name="RowTitles-Detail" xfId="220"/>
    <cellStyle name="SAPBEXaggData" xfId="221"/>
    <cellStyle name="SAPBEXaggData 2" xfId="222"/>
    <cellStyle name="SAPBEXaggData 3" xfId="223"/>
    <cellStyle name="SAPBEXaggData 4" xfId="224"/>
    <cellStyle name="SAPBEXaggDataEmph" xfId="225"/>
    <cellStyle name="SAPBEXaggDataEmph 2" xfId="226"/>
    <cellStyle name="SAPBEXaggDataEmph 3" xfId="227"/>
    <cellStyle name="SAPBEXaggDataEmph 4" xfId="228"/>
    <cellStyle name="SAPBEXaggItem" xfId="229"/>
    <cellStyle name="SAPBEXaggItem 2" xfId="230"/>
    <cellStyle name="SAPBEXaggItem 3" xfId="231"/>
    <cellStyle name="SAPBEXaggItem 4" xfId="232"/>
    <cellStyle name="SAPBEXaggItemX" xfId="233"/>
    <cellStyle name="SAPBEXaggItemX 2" xfId="234"/>
    <cellStyle name="SAPBEXaggItemX 3" xfId="235"/>
    <cellStyle name="SAPBEXchaText" xfId="236"/>
    <cellStyle name="SAPBEXchaText 2" xfId="237"/>
    <cellStyle name="SAPBEXchaText 2 2" xfId="238"/>
    <cellStyle name="SAPBEXchaText 3" xfId="239"/>
    <cellStyle name="SAPBEXchaText 3 2" xfId="240"/>
    <cellStyle name="SAPBEXchaText 4" xfId="241"/>
    <cellStyle name="SAPBEXchaText_13 Totaal en tabellen begroting 2013 versie 21" xfId="242"/>
    <cellStyle name="SAPBEXexcBad7" xfId="243"/>
    <cellStyle name="SAPBEXexcBad7 2" xfId="244"/>
    <cellStyle name="SAPBEXexcBad7 3" xfId="245"/>
    <cellStyle name="SAPBEXexcBad7 4" xfId="246"/>
    <cellStyle name="SAPBEXexcBad8" xfId="247"/>
    <cellStyle name="SAPBEXexcBad8 2" xfId="248"/>
    <cellStyle name="SAPBEXexcBad8 3" xfId="249"/>
    <cellStyle name="SAPBEXexcBad8 4" xfId="250"/>
    <cellStyle name="SAPBEXexcBad9" xfId="251"/>
    <cellStyle name="SAPBEXexcBad9 2" xfId="252"/>
    <cellStyle name="SAPBEXexcBad9 3" xfId="253"/>
    <cellStyle name="SAPBEXexcBad9 4" xfId="254"/>
    <cellStyle name="SAPBEXexcCritical4" xfId="255"/>
    <cellStyle name="SAPBEXexcCritical4 2" xfId="256"/>
    <cellStyle name="SAPBEXexcCritical4 3" xfId="257"/>
    <cellStyle name="SAPBEXexcCritical4 4" xfId="258"/>
    <cellStyle name="SAPBEXexcCritical5" xfId="259"/>
    <cellStyle name="SAPBEXexcCritical5 2" xfId="260"/>
    <cellStyle name="SAPBEXexcCritical5 3" xfId="261"/>
    <cellStyle name="SAPBEXexcCritical5 4" xfId="262"/>
    <cellStyle name="SAPBEXexcCritical6" xfId="263"/>
    <cellStyle name="SAPBEXexcCritical6 2" xfId="264"/>
    <cellStyle name="SAPBEXexcCritical6 3" xfId="265"/>
    <cellStyle name="SAPBEXexcCritical6 4" xfId="266"/>
    <cellStyle name="SAPBEXexcGood1" xfId="267"/>
    <cellStyle name="SAPBEXexcGood1 2" xfId="268"/>
    <cellStyle name="SAPBEXexcGood1 3" xfId="269"/>
    <cellStyle name="SAPBEXexcGood1 4" xfId="270"/>
    <cellStyle name="SAPBEXexcGood2" xfId="271"/>
    <cellStyle name="SAPBEXexcGood2 2" xfId="272"/>
    <cellStyle name="SAPBEXexcGood2 3" xfId="273"/>
    <cellStyle name="SAPBEXexcGood2 4" xfId="274"/>
    <cellStyle name="SAPBEXexcGood3" xfId="275"/>
    <cellStyle name="SAPBEXexcGood3 2" xfId="276"/>
    <cellStyle name="SAPBEXexcGood3 3" xfId="277"/>
    <cellStyle name="SAPBEXexcGood3 4" xfId="278"/>
    <cellStyle name="SAPBEXfilterDrill" xfId="279"/>
    <cellStyle name="SAPBEXfilterDrill 2" xfId="280"/>
    <cellStyle name="SAPBEXfilterDrill 3" xfId="281"/>
    <cellStyle name="SAPBEXfilterDrill 4" xfId="282"/>
    <cellStyle name="SAPBEXfilterItem" xfId="283"/>
    <cellStyle name="SAPBEXfilterItem 2" xfId="284"/>
    <cellStyle name="SAPBEXfilterItem 3" xfId="285"/>
    <cellStyle name="SAPBEXfilterItem 4" xfId="286"/>
    <cellStyle name="SAPBEXfilterText" xfId="287"/>
    <cellStyle name="SAPBEXfilterText 2" xfId="288"/>
    <cellStyle name="SAPBEXfilterText 3" xfId="289"/>
    <cellStyle name="SAPBEXformats" xfId="290"/>
    <cellStyle name="SAPBEXformats 2" xfId="291"/>
    <cellStyle name="SAPBEXformats 2 2" xfId="292"/>
    <cellStyle name="SAPBEXformats 3" xfId="293"/>
    <cellStyle name="SAPBEXformats 3 2" xfId="294"/>
    <cellStyle name="SAPBEXformats 4" xfId="295"/>
    <cellStyle name="SAPBEXformats_20100402 standen 11 12 13 en mutaties 11" xfId="296"/>
    <cellStyle name="SAPBEXheaderItem" xfId="297"/>
    <cellStyle name="SAPBEXheaderItem 2" xfId="298"/>
    <cellStyle name="SAPBEXheaderItem 3" xfId="299"/>
    <cellStyle name="SAPBEXheaderItem 4" xfId="300"/>
    <cellStyle name="SAPBEXheaderText" xfId="301"/>
    <cellStyle name="SAPBEXheaderText 2" xfId="302"/>
    <cellStyle name="SAPBEXheaderText 3" xfId="303"/>
    <cellStyle name="SAPBEXheaderText 4" xfId="304"/>
    <cellStyle name="SAPBEXHLevel0" xfId="305"/>
    <cellStyle name="SAPBEXHLevel0 2" xfId="306"/>
    <cellStyle name="SAPBEXHLevel0 3" xfId="307"/>
    <cellStyle name="SAPBEXHLevel0X" xfId="308"/>
    <cellStyle name="SAPBEXHLevel0X 2" xfId="309"/>
    <cellStyle name="SAPBEXHLevel0X 3" xfId="310"/>
    <cellStyle name="SAPBEXHLevel1" xfId="311"/>
    <cellStyle name="SAPBEXHLevel1 2" xfId="312"/>
    <cellStyle name="SAPBEXHLevel1 3" xfId="313"/>
    <cellStyle name="SAPBEXHLevel1X" xfId="314"/>
    <cellStyle name="SAPBEXHLevel1X 2" xfId="315"/>
    <cellStyle name="SAPBEXHLevel1X 3" xfId="316"/>
    <cellStyle name="SAPBEXHLevel2" xfId="317"/>
    <cellStyle name="SAPBEXHLevel2 2" xfId="318"/>
    <cellStyle name="SAPBEXHLevel2 3" xfId="319"/>
    <cellStyle name="SAPBEXHLevel2X" xfId="320"/>
    <cellStyle name="SAPBEXHLevel2X 2" xfId="321"/>
    <cellStyle name="SAPBEXHLevel2X 3" xfId="322"/>
    <cellStyle name="SAPBEXHLevel3" xfId="323"/>
    <cellStyle name="SAPBEXHLevel3 2" xfId="324"/>
    <cellStyle name="SAPBEXHLevel3 3" xfId="325"/>
    <cellStyle name="SAPBEXHLevel3X" xfId="326"/>
    <cellStyle name="SAPBEXHLevel3X 2" xfId="327"/>
    <cellStyle name="SAPBEXHLevel3X 3" xfId="328"/>
    <cellStyle name="SAPBEXinputData" xfId="329"/>
    <cellStyle name="SAPBEXinputData 2" xfId="330"/>
    <cellStyle name="SAPBEXresData" xfId="331"/>
    <cellStyle name="SAPBEXresData 2" xfId="332"/>
    <cellStyle name="SAPBEXresData 3" xfId="333"/>
    <cellStyle name="SAPBEXresData 4" xfId="334"/>
    <cellStyle name="SAPBEXresDataEmph" xfId="335"/>
    <cellStyle name="SAPBEXresDataEmph 2" xfId="336"/>
    <cellStyle name="SAPBEXresDataEmph 3" xfId="337"/>
    <cellStyle name="SAPBEXresDataEmph 4" xfId="338"/>
    <cellStyle name="SAPBEXresItem" xfId="339"/>
    <cellStyle name="SAPBEXresItem 2" xfId="340"/>
    <cellStyle name="SAPBEXresItem 3" xfId="341"/>
    <cellStyle name="SAPBEXresItem 4" xfId="342"/>
    <cellStyle name="SAPBEXresItemX" xfId="343"/>
    <cellStyle name="SAPBEXresItemX 2" xfId="344"/>
    <cellStyle name="SAPBEXresItemX 3" xfId="345"/>
    <cellStyle name="SAPBEXstdData" xfId="346"/>
    <cellStyle name="SAPBEXstdData 2" xfId="347"/>
    <cellStyle name="SAPBEXstdData 2 2" xfId="348"/>
    <cellStyle name="SAPBEXstdData 3" xfId="349"/>
    <cellStyle name="SAPBEXstdData 3 2" xfId="350"/>
    <cellStyle name="SAPBEXstdData_2012 06 11 Mutaties MLN 2013 (zoals aangeleverd bij Fin)" xfId="351"/>
    <cellStyle name="SAPBEXstdDataEmph" xfId="352"/>
    <cellStyle name="SAPBEXstdDataEmph 2" xfId="353"/>
    <cellStyle name="SAPBEXstdDataEmph 3" xfId="354"/>
    <cellStyle name="SAPBEXstdDataEmph 4" xfId="355"/>
    <cellStyle name="SAPBEXstdItem" xfId="356"/>
    <cellStyle name="SAPBEXstdItem 2" xfId="357"/>
    <cellStyle name="SAPBEXstdItem 2 2" xfId="358"/>
    <cellStyle name="SAPBEXstdItem 3" xfId="359"/>
    <cellStyle name="SAPBEXstdItem 3 2" xfId="360"/>
    <cellStyle name="SAPBEXstdItem 4" xfId="361"/>
    <cellStyle name="SAPBEXstdItem_00 Totaal ramingsbijstellingen SF" xfId="362"/>
    <cellStyle name="SAPBEXstdItemX" xfId="363"/>
    <cellStyle name="SAPBEXstdItemX 2" xfId="364"/>
    <cellStyle name="SAPBEXstdItemX 3" xfId="365"/>
    <cellStyle name="SAPBEXtitle" xfId="366"/>
    <cellStyle name="SAPBEXtitle 2" xfId="367"/>
    <cellStyle name="SAPBEXtitle 3" xfId="368"/>
    <cellStyle name="SAPBEXtitle 4" xfId="369"/>
    <cellStyle name="SAPBEXundefined" xfId="370"/>
    <cellStyle name="SAPBEXundefined 2" xfId="371"/>
    <cellStyle name="SAPBEXundefined 3" xfId="372"/>
    <cellStyle name="SAPBEXundefined 4" xfId="373"/>
    <cellStyle name="Standaard 10" xfId="374"/>
    <cellStyle name="Standaard 11" xfId="375"/>
    <cellStyle name="Standaard 12" xfId="376"/>
    <cellStyle name="Standaard 13" xfId="377"/>
    <cellStyle name="Standaard 13 2" xfId="378"/>
    <cellStyle name="Standaard 13 3" xfId="379"/>
    <cellStyle name="Standaard 13 4" xfId="380"/>
    <cellStyle name="Standaard 14" xfId="381"/>
    <cellStyle name="Standaard 15" xfId="382"/>
    <cellStyle name="Standaard 16" xfId="383"/>
    <cellStyle name="Standaard 17" xfId="384"/>
    <cellStyle name="Standaard 18" xfId="385"/>
    <cellStyle name="Standaard 19" xfId="386"/>
    <cellStyle name="Standaard 2" xfId="15"/>
    <cellStyle name="Standaard 2 2" xfId="33"/>
    <cellStyle name="Standaard 2 3" xfId="387"/>
    <cellStyle name="Standaard 2 3 2" xfId="388"/>
    <cellStyle name="Standaard 2 4" xfId="389"/>
    <cellStyle name="Standaard 2 5" xfId="390"/>
    <cellStyle name="Standaard 2 6" xfId="34"/>
    <cellStyle name="Standaard 20" xfId="391"/>
    <cellStyle name="Standaard 21" xfId="392"/>
    <cellStyle name="Standaard 22" xfId="393"/>
    <cellStyle name="Standaard 23" xfId="394"/>
    <cellStyle name="Standaard 24" xfId="395"/>
    <cellStyle name="Standaard 25" xfId="396"/>
    <cellStyle name="Standaard 26" xfId="397"/>
    <cellStyle name="Standaard 3" xfId="25"/>
    <cellStyle name="Standaard 3 2" xfId="398"/>
    <cellStyle name="Standaard 3 3" xfId="399"/>
    <cellStyle name="Standaard 4" xfId="400"/>
    <cellStyle name="Standaard 4 2" xfId="401"/>
    <cellStyle name="Standaard 5" xfId="402"/>
    <cellStyle name="Standaard 5 2" xfId="403"/>
    <cellStyle name="Standaard 6" xfId="404"/>
    <cellStyle name="Standaard 6 2" xfId="405"/>
    <cellStyle name="Standaard 6 3" xfId="406"/>
    <cellStyle name="Standaard 7" xfId="407"/>
    <cellStyle name="Standaard 7 2" xfId="408"/>
    <cellStyle name="Standaard 7 2 2" xfId="409"/>
    <cellStyle name="Standaard 8" xfId="410"/>
    <cellStyle name="Standaard 9" xfId="411"/>
    <cellStyle name="STANDAARD1" xfId="10"/>
    <cellStyle name="Standard_DIAGRAM" xfId="412"/>
    <cellStyle name="Sub-titles" xfId="413"/>
    <cellStyle name="Sub-titles Cols" xfId="414"/>
    <cellStyle name="Sub-titles rows" xfId="415"/>
    <cellStyle name="Table No." xfId="416"/>
    <cellStyle name="Table Title" xfId="417"/>
    <cellStyle name="temp" xfId="418"/>
    <cellStyle name="Title 2" xfId="419"/>
    <cellStyle name="title1" xfId="420"/>
    <cellStyle name="Titles" xfId="421"/>
    <cellStyle name="TOTAAL" xfId="11"/>
    <cellStyle name="Totaal 2" xfId="422"/>
    <cellStyle name="Totaal 2 2" xfId="423"/>
    <cellStyle name="Totaal 3" xfId="424"/>
    <cellStyle name="Total 2" xfId="425"/>
    <cellStyle name="Tusental (0)_Blad2" xfId="426"/>
    <cellStyle name="Tusental_Blad2" xfId="427"/>
    <cellStyle name="Uitvoer 2" xfId="428"/>
    <cellStyle name="Uitvoer 3" xfId="429"/>
    <cellStyle name="Valuta (0)_Blad2" xfId="430"/>
    <cellStyle name="Valuta 2" xfId="431"/>
    <cellStyle name="Valuta 2 2" xfId="432"/>
    <cellStyle name="Valuta 2 3" xfId="433"/>
    <cellStyle name="Valuta 3" xfId="434"/>
    <cellStyle name="Valuta 4" xfId="435"/>
    <cellStyle name="Valuta 5" xfId="436"/>
    <cellStyle name="Valuta 6" xfId="437"/>
    <cellStyle name="Valuta 7" xfId="438"/>
    <cellStyle name="Valuta 8" xfId="439"/>
    <cellStyle name="Valuta0" xfId="440"/>
    <cellStyle name="Vast" xfId="441"/>
    <cellStyle name="Verklarende tekst 2" xfId="442"/>
    <cellStyle name="Verklarende tekst 3" xfId="443"/>
    <cellStyle name="Waarschuwingstekst 2" xfId="444"/>
    <cellStyle name="Waarschuwingstekst 3" xfId="445"/>
    <cellStyle name="Währung [0]_DIAGRAM" xfId="446"/>
    <cellStyle name="Währung_DIAGRAM" xfId="447"/>
    <cellStyle name="Warning Text 2" xfId="448"/>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SciSa\Projects\15TwIn_TWIN%20begroting%202016\YYPrCd_Data\YYPrCd_DatOrig\Opgave%20IenM-TOF_begroting-2016%2008-10-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sheetName val="toelichting R&amp;D"/>
      <sheetName val="toelichting innovatie"/>
      <sheetName val="NABScodering"/>
    </sheetNames>
    <sheetDataSet>
      <sheetData sheetId="0">
        <row r="88">
          <cell r="B88" t="str">
            <v>RWS Corporate innovatie (HWN, HWVN)</v>
          </cell>
        </row>
        <row r="96">
          <cell r="B96" t="str">
            <v>Opdrachten KDC</v>
          </cell>
        </row>
        <row r="98">
          <cell r="B98" t="str">
            <v>KLM Corporate Biofuel Programme</v>
          </cell>
        </row>
        <row r="100">
          <cell r="B100" t="str">
            <v>topsector logistiek - opdrachten</v>
          </cell>
        </row>
        <row r="102">
          <cell r="B102" t="str">
            <v>topsector logistiek - subsidies</v>
          </cell>
        </row>
        <row r="104">
          <cell r="B104" t="str">
            <v>subsidieregeling innovaties duurzame binnenvaart</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tabSelected="1" zoomScaleNormal="100" workbookViewId="0"/>
  </sheetViews>
  <sheetFormatPr defaultRowHeight="15" customHeight="1"/>
  <cols>
    <col min="1" max="1" width="96.140625" style="38" customWidth="1"/>
    <col min="2" max="16384" width="9.140625" style="38"/>
  </cols>
  <sheetData>
    <row r="1" spans="1:1" ht="20.100000000000001" customHeight="1">
      <c r="A1" s="94" t="s">
        <v>298</v>
      </c>
    </row>
    <row r="2" spans="1:1" ht="15" customHeight="1">
      <c r="A2" s="94"/>
    </row>
    <row r="3" spans="1:1" s="84" customFormat="1" ht="15" customHeight="1">
      <c r="A3" s="137" t="s">
        <v>297</v>
      </c>
    </row>
    <row r="4" spans="1:1" s="84" customFormat="1" ht="30" customHeight="1">
      <c r="A4" s="176" t="s">
        <v>440</v>
      </c>
    </row>
    <row r="5" spans="1:1" s="84" customFormat="1" ht="30" customHeight="1">
      <c r="A5" s="176" t="s">
        <v>441</v>
      </c>
    </row>
    <row r="6" spans="1:1" s="84" customFormat="1" ht="15" customHeight="1">
      <c r="A6" s="176" t="s">
        <v>442</v>
      </c>
    </row>
    <row r="7" spans="1:1" s="84" customFormat="1" ht="30" customHeight="1">
      <c r="A7" s="176" t="s">
        <v>443</v>
      </c>
    </row>
    <row r="8" spans="1:1" s="84" customFormat="1" ht="15" customHeight="1">
      <c r="A8" s="176" t="s">
        <v>444</v>
      </c>
    </row>
    <row r="9" spans="1:1" s="84" customFormat="1" ht="15" customHeight="1">
      <c r="A9" s="176" t="s">
        <v>445</v>
      </c>
    </row>
    <row r="10" spans="1:1" s="84" customFormat="1" ht="15" customHeight="1">
      <c r="A10" s="176" t="s">
        <v>446</v>
      </c>
    </row>
  </sheetData>
  <pageMargins left="0.70866141732283472" right="0.70866141732283472" top="0.74803149606299213" bottom="0.74803149606299213" header="0.31496062992125984" footer="0.31496062992125984"/>
  <pageSetup paperSize="9" scale="85" orientation="portrait" r:id="rId1"/>
  <headerFooter>
    <oddFooter>&amp;L&amp;Z&amp;F</oddFooter>
  </headerFooter>
  <colBreaks count="1" manualBreakCount="1">
    <brk id="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2"/>
  <sheetViews>
    <sheetView workbookViewId="0"/>
  </sheetViews>
  <sheetFormatPr defaultRowHeight="15"/>
  <cols>
    <col min="1" max="1" width="184.28515625" style="123" customWidth="1"/>
    <col min="2" max="2" width="0.140625" style="123" customWidth="1"/>
    <col min="3" max="8" width="9.140625" style="123" hidden="1" customWidth="1"/>
    <col min="9" max="16384" width="9.140625" style="123"/>
  </cols>
  <sheetData>
    <row r="1" spans="1:21" ht="18.75">
      <c r="A1" s="94" t="s">
        <v>368</v>
      </c>
    </row>
    <row r="3" spans="1:21" ht="15" customHeight="1">
      <c r="A3" s="53" t="s">
        <v>265</v>
      </c>
    </row>
    <row r="4" spans="1:21" ht="15" customHeight="1">
      <c r="A4" s="277" t="s">
        <v>301</v>
      </c>
      <c r="B4" s="278"/>
      <c r="C4" s="278"/>
      <c r="D4" s="278"/>
      <c r="E4" s="278"/>
      <c r="F4" s="278"/>
      <c r="G4" s="278"/>
      <c r="H4" s="278"/>
    </row>
    <row r="5" spans="1:21" ht="15" customHeight="1">
      <c r="A5" s="259" t="s">
        <v>562</v>
      </c>
      <c r="B5" s="133"/>
      <c r="C5" s="133"/>
      <c r="D5" s="133"/>
      <c r="E5" s="133"/>
      <c r="F5" s="133"/>
      <c r="G5" s="133"/>
      <c r="H5" s="133"/>
    </row>
    <row r="6" spans="1:21" ht="15" customHeight="1">
      <c r="A6" s="279" t="s">
        <v>199</v>
      </c>
      <c r="B6" s="280"/>
      <c r="C6" s="280"/>
      <c r="D6" s="280"/>
      <c r="E6" s="280"/>
      <c r="F6" s="280"/>
      <c r="G6" s="280"/>
      <c r="H6" s="280"/>
    </row>
    <row r="7" spans="1:21" ht="15" customHeight="1">
      <c r="A7" s="281" t="s">
        <v>447</v>
      </c>
      <c r="B7" s="278"/>
      <c r="C7" s="278"/>
      <c r="D7" s="278"/>
      <c r="E7" s="278"/>
      <c r="F7" s="278"/>
      <c r="G7" s="278"/>
      <c r="H7" s="278"/>
    </row>
    <row r="8" spans="1:21" ht="15" customHeight="1">
      <c r="A8" s="176" t="s">
        <v>448</v>
      </c>
      <c r="B8" s="133"/>
      <c r="C8" s="133"/>
      <c r="D8" s="133"/>
      <c r="E8" s="133"/>
      <c r="F8" s="133"/>
      <c r="G8" s="133"/>
      <c r="H8" s="133"/>
    </row>
    <row r="9" spans="1:21" ht="15" customHeight="1"/>
    <row r="10" spans="1:21" ht="15" customHeight="1">
      <c r="A10" s="80" t="s">
        <v>267</v>
      </c>
      <c r="B10" s="2"/>
      <c r="C10" s="2"/>
      <c r="D10" s="2"/>
      <c r="E10" s="2"/>
      <c r="F10" s="2"/>
      <c r="G10" s="2"/>
      <c r="H10" s="2"/>
      <c r="I10" s="2"/>
      <c r="J10" s="2"/>
      <c r="K10" s="2"/>
      <c r="L10" s="2"/>
      <c r="M10" s="2"/>
      <c r="N10" s="2"/>
    </row>
    <row r="11" spans="1:21" ht="15" customHeight="1">
      <c r="A11" s="80"/>
      <c r="B11" s="2"/>
      <c r="C11" s="2"/>
      <c r="D11" s="2"/>
      <c r="E11" s="2"/>
      <c r="F11" s="2"/>
      <c r="G11" s="2"/>
      <c r="H11" s="2"/>
      <c r="I11" s="2"/>
      <c r="J11" s="2"/>
      <c r="K11" s="2"/>
      <c r="L11" s="2"/>
      <c r="M11" s="2"/>
      <c r="N11" s="2"/>
    </row>
    <row r="12" spans="1:21" ht="15" customHeight="1">
      <c r="A12" s="3" t="s">
        <v>253</v>
      </c>
      <c r="B12" s="2"/>
      <c r="C12" s="2"/>
      <c r="D12" s="2"/>
      <c r="E12" s="2"/>
      <c r="F12" s="2"/>
      <c r="G12" s="2"/>
      <c r="H12" s="2"/>
      <c r="I12" s="2"/>
      <c r="J12" s="2"/>
      <c r="K12" s="2"/>
      <c r="L12" s="2"/>
      <c r="M12" s="2"/>
      <c r="N12" s="2"/>
    </row>
    <row r="13" spans="1:21" ht="15" customHeight="1">
      <c r="A13" s="83" t="s">
        <v>278</v>
      </c>
      <c r="B13" s="135"/>
      <c r="C13" s="135"/>
      <c r="D13" s="135"/>
      <c r="E13" s="135"/>
      <c r="F13" s="135"/>
      <c r="G13" s="135"/>
      <c r="H13" s="135"/>
      <c r="I13" s="135"/>
      <c r="J13" s="135"/>
      <c r="K13" s="135"/>
      <c r="L13" s="135"/>
      <c r="M13" s="135"/>
      <c r="N13" s="135"/>
    </row>
    <row r="14" spans="1:21" ht="15" customHeight="1">
      <c r="A14" s="135" t="s">
        <v>279</v>
      </c>
      <c r="B14" s="135"/>
      <c r="C14" s="135"/>
      <c r="D14" s="135"/>
      <c r="E14" s="135"/>
      <c r="F14" s="135"/>
      <c r="G14" s="135"/>
      <c r="H14" s="135"/>
      <c r="I14" s="135"/>
      <c r="J14" s="135"/>
      <c r="K14" s="135"/>
      <c r="L14" s="135"/>
      <c r="M14" s="135"/>
      <c r="N14" s="135"/>
      <c r="O14" s="2"/>
      <c r="P14" s="2"/>
      <c r="Q14" s="2"/>
      <c r="R14" s="134"/>
      <c r="S14" s="50"/>
      <c r="T14" s="134"/>
      <c r="U14" s="134"/>
    </row>
    <row r="15" spans="1:21" ht="15" customHeight="1">
      <c r="A15" s="2" t="s">
        <v>254</v>
      </c>
      <c r="B15" s="2"/>
      <c r="C15" s="2"/>
      <c r="D15" s="2"/>
      <c r="E15" s="2"/>
      <c r="F15" s="2"/>
      <c r="G15" s="2"/>
      <c r="H15" s="2"/>
      <c r="I15" s="2"/>
      <c r="J15" s="2"/>
      <c r="K15" s="2"/>
      <c r="L15" s="2"/>
      <c r="M15" s="2"/>
      <c r="N15" s="2"/>
      <c r="O15" s="2"/>
      <c r="P15" s="2"/>
      <c r="Q15" s="2"/>
      <c r="R15" s="134"/>
      <c r="S15" s="50"/>
      <c r="T15" s="134"/>
      <c r="U15" s="134"/>
    </row>
    <row r="16" spans="1:21" ht="15" customHeight="1">
      <c r="A16" s="2"/>
      <c r="B16" s="2"/>
      <c r="C16" s="2"/>
      <c r="D16" s="2"/>
      <c r="E16" s="2"/>
      <c r="F16" s="2"/>
      <c r="G16" s="2"/>
      <c r="H16" s="2"/>
      <c r="I16" s="2"/>
      <c r="J16" s="2"/>
      <c r="K16" s="2"/>
      <c r="L16" s="2"/>
      <c r="M16" s="2"/>
      <c r="N16" s="2"/>
      <c r="O16" s="2"/>
      <c r="P16" s="2"/>
      <c r="Q16" s="2"/>
      <c r="R16" s="134"/>
      <c r="S16" s="50"/>
      <c r="T16" s="134"/>
      <c r="U16" s="134"/>
    </row>
    <row r="17" spans="1:21" ht="15" customHeight="1">
      <c r="A17" s="3" t="s">
        <v>266</v>
      </c>
      <c r="B17" s="2"/>
      <c r="C17" s="2"/>
      <c r="D17" s="2"/>
      <c r="E17" s="2"/>
      <c r="F17" s="2"/>
      <c r="G17" s="2"/>
      <c r="H17" s="2"/>
      <c r="I17" s="2"/>
      <c r="J17" s="2"/>
      <c r="K17" s="2"/>
      <c r="L17" s="2"/>
      <c r="M17" s="2"/>
      <c r="N17" s="2"/>
      <c r="O17" s="51"/>
      <c r="P17" s="51"/>
      <c r="Q17" s="51"/>
      <c r="R17" s="51"/>
      <c r="S17" s="52"/>
      <c r="T17" s="51"/>
      <c r="U17" s="51"/>
    </row>
    <row r="18" spans="1:21" ht="15" customHeight="1">
      <c r="A18" s="81" t="s">
        <v>255</v>
      </c>
      <c r="B18" s="2"/>
      <c r="C18" s="2"/>
      <c r="D18" s="2"/>
      <c r="E18" s="2"/>
      <c r="F18" s="2"/>
      <c r="G18" s="2"/>
      <c r="H18" s="2"/>
      <c r="I18" s="2"/>
      <c r="J18" s="2"/>
      <c r="K18" s="2"/>
      <c r="L18" s="2"/>
      <c r="M18" s="2"/>
      <c r="N18" s="2"/>
    </row>
    <row r="19" spans="1:21" ht="15" customHeight="1">
      <c r="A19" s="81" t="s">
        <v>256</v>
      </c>
      <c r="B19" s="2"/>
      <c r="C19" s="2"/>
      <c r="D19" s="2"/>
      <c r="E19" s="2"/>
      <c r="F19" s="2"/>
      <c r="G19" s="2"/>
      <c r="H19" s="2"/>
      <c r="I19" s="2"/>
      <c r="J19" s="2"/>
      <c r="K19" s="2"/>
      <c r="L19" s="2"/>
      <c r="M19" s="2"/>
      <c r="N19" s="2"/>
    </row>
    <row r="20" spans="1:21" ht="15" customHeight="1">
      <c r="A20" s="81" t="s">
        <v>430</v>
      </c>
      <c r="B20" s="2"/>
      <c r="C20" s="2"/>
      <c r="D20" s="2"/>
      <c r="E20" s="2"/>
      <c r="F20" s="2"/>
      <c r="G20" s="2"/>
      <c r="H20" s="2"/>
      <c r="I20" s="2"/>
      <c r="J20" s="2"/>
      <c r="K20" s="2"/>
      <c r="L20" s="2"/>
      <c r="M20" s="2"/>
      <c r="N20" s="2"/>
    </row>
    <row r="21" spans="1:21" ht="15" customHeight="1">
      <c r="A21" s="81" t="s">
        <v>431</v>
      </c>
      <c r="B21" s="2"/>
      <c r="C21" s="2"/>
      <c r="D21" s="2"/>
      <c r="E21" s="2"/>
      <c r="F21" s="2"/>
      <c r="G21" s="2"/>
      <c r="H21" s="2"/>
      <c r="I21" s="2"/>
      <c r="J21" s="2"/>
      <c r="K21" s="2"/>
      <c r="L21" s="2"/>
      <c r="M21" s="2"/>
      <c r="N21" s="2"/>
    </row>
    <row r="22" spans="1:21" ht="15" customHeight="1">
      <c r="A22" s="2"/>
      <c r="B22" s="2"/>
      <c r="C22" s="2"/>
      <c r="D22" s="2"/>
      <c r="E22" s="2"/>
      <c r="F22" s="2"/>
      <c r="G22" s="2"/>
      <c r="H22" s="2"/>
      <c r="I22" s="2"/>
      <c r="J22" s="2"/>
      <c r="K22" s="2"/>
      <c r="L22" s="2"/>
      <c r="M22" s="2"/>
      <c r="N22" s="2"/>
    </row>
    <row r="23" spans="1:21" ht="15" customHeight="1">
      <c r="A23" s="3" t="s">
        <v>257</v>
      </c>
      <c r="B23" s="2"/>
      <c r="C23" s="2"/>
      <c r="D23" s="2"/>
      <c r="E23" s="2"/>
      <c r="F23" s="2"/>
      <c r="G23" s="2"/>
      <c r="H23" s="2"/>
      <c r="I23" s="2"/>
      <c r="J23" s="2"/>
      <c r="K23" s="2"/>
      <c r="L23" s="2"/>
      <c r="M23" s="2"/>
      <c r="N23" s="2"/>
    </row>
    <row r="24" spans="1:21" ht="45" customHeight="1">
      <c r="A24" s="83" t="s">
        <v>258</v>
      </c>
      <c r="B24" s="136"/>
      <c r="C24" s="136"/>
      <c r="D24" s="136"/>
      <c r="E24" s="136"/>
      <c r="F24" s="136"/>
      <c r="G24" s="136"/>
      <c r="H24" s="136"/>
      <c r="I24" s="136"/>
      <c r="J24" s="136"/>
      <c r="K24" s="136"/>
      <c r="L24" s="136"/>
      <c r="M24" s="136"/>
      <c r="N24" s="136"/>
    </row>
    <row r="25" spans="1:21" ht="15" customHeight="1">
      <c r="A25" s="2"/>
      <c r="B25" s="2"/>
      <c r="C25" s="2"/>
      <c r="D25" s="2"/>
      <c r="E25" s="2"/>
      <c r="F25" s="2"/>
      <c r="G25" s="2"/>
      <c r="H25" s="2"/>
      <c r="I25" s="2"/>
      <c r="J25" s="2"/>
      <c r="K25" s="2"/>
      <c r="L25" s="2"/>
      <c r="M25" s="2"/>
      <c r="N25" s="2"/>
    </row>
    <row r="26" spans="1:21" ht="15" customHeight="1">
      <c r="A26" s="3" t="s">
        <v>259</v>
      </c>
      <c r="B26" s="2"/>
      <c r="C26" s="2"/>
      <c r="D26" s="2"/>
      <c r="E26" s="2"/>
      <c r="F26" s="2"/>
      <c r="G26" s="2"/>
      <c r="H26" s="2"/>
      <c r="I26" s="2"/>
      <c r="J26" s="2"/>
      <c r="K26" s="2"/>
      <c r="L26" s="2"/>
      <c r="M26" s="2"/>
      <c r="N26" s="2"/>
    </row>
    <row r="27" spans="1:21" ht="45" customHeight="1">
      <c r="A27" s="83" t="s">
        <v>429</v>
      </c>
      <c r="B27" s="136"/>
      <c r="C27" s="136"/>
      <c r="D27" s="136"/>
      <c r="E27" s="136"/>
      <c r="F27" s="136"/>
      <c r="G27" s="136"/>
      <c r="H27" s="136"/>
      <c r="I27" s="136"/>
      <c r="J27" s="136"/>
      <c r="K27" s="136"/>
      <c r="L27" s="136"/>
      <c r="M27" s="136"/>
      <c r="N27" s="136"/>
    </row>
    <row r="28" spans="1:21" ht="15" customHeight="1">
      <c r="A28" s="2"/>
      <c r="B28" s="2"/>
      <c r="C28" s="2"/>
      <c r="D28" s="2"/>
      <c r="E28" s="2"/>
      <c r="F28" s="2"/>
      <c r="G28" s="2"/>
      <c r="H28" s="2"/>
      <c r="I28" s="2"/>
      <c r="J28" s="2"/>
      <c r="K28" s="2"/>
      <c r="L28" s="2"/>
      <c r="M28" s="2"/>
      <c r="N28" s="2"/>
    </row>
    <row r="29" spans="1:21" ht="15" customHeight="1">
      <c r="A29" s="3" t="s">
        <v>260</v>
      </c>
      <c r="B29" s="2"/>
      <c r="C29" s="2"/>
      <c r="D29" s="2"/>
      <c r="E29" s="2"/>
      <c r="F29" s="2"/>
      <c r="G29" s="2"/>
      <c r="H29" s="2"/>
      <c r="I29" s="2"/>
      <c r="J29" s="2"/>
      <c r="K29" s="2"/>
      <c r="L29" s="2"/>
      <c r="M29" s="2"/>
      <c r="N29" s="2"/>
    </row>
    <row r="30" spans="1:21" ht="15" customHeight="1">
      <c r="A30" s="2" t="s">
        <v>261</v>
      </c>
      <c r="B30" s="2"/>
      <c r="C30" s="2"/>
      <c r="D30" s="2"/>
      <c r="E30" s="2"/>
      <c r="F30" s="2"/>
      <c r="G30" s="2"/>
      <c r="H30" s="2"/>
      <c r="I30" s="2"/>
      <c r="J30" s="2"/>
      <c r="K30" s="2"/>
      <c r="L30" s="2"/>
      <c r="M30" s="2"/>
      <c r="N30" s="2"/>
    </row>
    <row r="31" spans="1:21" ht="15" customHeight="1">
      <c r="A31" s="2"/>
      <c r="B31" s="2"/>
      <c r="C31" s="2"/>
      <c r="D31" s="2"/>
      <c r="E31" s="2"/>
      <c r="F31" s="2"/>
      <c r="G31" s="2"/>
      <c r="H31" s="2"/>
      <c r="I31" s="2"/>
      <c r="J31" s="2"/>
      <c r="K31" s="2"/>
      <c r="L31" s="2"/>
      <c r="M31" s="2"/>
      <c r="N31" s="2"/>
    </row>
    <row r="32" spans="1:21" ht="15" customHeight="1">
      <c r="A32" s="3" t="s">
        <v>262</v>
      </c>
      <c r="B32" s="2"/>
      <c r="C32" s="2"/>
      <c r="D32" s="2"/>
      <c r="E32" s="2"/>
      <c r="F32" s="2"/>
      <c r="G32" s="2"/>
      <c r="H32" s="2"/>
      <c r="I32" s="2"/>
      <c r="J32" s="2"/>
      <c r="K32" s="2"/>
      <c r="L32" s="2"/>
      <c r="M32" s="2"/>
      <c r="N32" s="2"/>
    </row>
    <row r="33" spans="1:14" ht="30" customHeight="1">
      <c r="A33" s="83" t="s">
        <v>263</v>
      </c>
      <c r="B33" s="136"/>
      <c r="C33" s="136"/>
      <c r="D33" s="136"/>
      <c r="E33" s="136"/>
      <c r="F33" s="136"/>
      <c r="G33" s="136"/>
      <c r="H33" s="136"/>
      <c r="I33" s="136"/>
      <c r="J33" s="136"/>
      <c r="K33" s="136"/>
      <c r="L33" s="136"/>
      <c r="M33" s="136"/>
      <c r="N33" s="136"/>
    </row>
    <row r="34" spans="1:14" ht="15" customHeight="1">
      <c r="A34" s="83"/>
      <c r="B34" s="136"/>
      <c r="C34" s="136"/>
      <c r="D34" s="136"/>
      <c r="E34" s="136"/>
      <c r="F34" s="136"/>
      <c r="G34" s="136"/>
      <c r="H34" s="136"/>
      <c r="I34" s="136"/>
      <c r="J34" s="136"/>
      <c r="K34" s="136"/>
      <c r="L34" s="136"/>
      <c r="M34" s="136"/>
      <c r="N34" s="136"/>
    </row>
    <row r="35" spans="1:14" ht="15" customHeight="1">
      <c r="A35" s="3" t="s">
        <v>264</v>
      </c>
      <c r="B35" s="2"/>
      <c r="C35" s="2"/>
      <c r="D35" s="2"/>
      <c r="E35" s="2"/>
      <c r="F35" s="2"/>
      <c r="G35" s="2"/>
      <c r="H35" s="2"/>
      <c r="I35" s="2"/>
      <c r="J35" s="2"/>
      <c r="K35" s="2"/>
      <c r="L35" s="2"/>
      <c r="M35" s="2"/>
      <c r="N35" s="2"/>
    </row>
    <row r="36" spans="1:14" ht="15" customHeight="1">
      <c r="A36" s="83" t="s">
        <v>309</v>
      </c>
      <c r="B36" s="136"/>
      <c r="C36" s="136"/>
      <c r="D36" s="136"/>
      <c r="E36" s="136"/>
      <c r="F36" s="136"/>
      <c r="G36" s="136"/>
      <c r="H36" s="136"/>
      <c r="I36" s="136"/>
      <c r="J36" s="136"/>
      <c r="K36" s="136"/>
      <c r="L36" s="136"/>
      <c r="M36" s="136"/>
      <c r="N36" s="136"/>
    </row>
    <row r="37" spans="1:14" ht="15" customHeight="1"/>
    <row r="38" spans="1:14" ht="15" customHeight="1">
      <c r="A38" s="3" t="s">
        <v>268</v>
      </c>
    </row>
    <row r="39" spans="1:14" ht="15" customHeight="1">
      <c r="A39" s="2" t="s">
        <v>269</v>
      </c>
    </row>
    <row r="40" spans="1:14" ht="15" customHeight="1">
      <c r="A40" s="2" t="s">
        <v>432</v>
      </c>
    </row>
    <row r="41" spans="1:14" ht="15" customHeight="1">
      <c r="A41" s="81" t="s">
        <v>270</v>
      </c>
    </row>
    <row r="42" spans="1:14" ht="15" customHeight="1">
      <c r="A42" s="81" t="s">
        <v>271</v>
      </c>
    </row>
    <row r="43" spans="1:14" ht="15" customHeight="1">
      <c r="A43" s="81" t="s">
        <v>272</v>
      </c>
    </row>
    <row r="44" spans="1:14" ht="15" customHeight="1">
      <c r="A44" s="81" t="s">
        <v>273</v>
      </c>
    </row>
    <row r="45" spans="1:14" ht="15" customHeight="1"/>
    <row r="46" spans="1:14" ht="15" customHeight="1">
      <c r="A46" s="3" t="s">
        <v>274</v>
      </c>
    </row>
    <row r="47" spans="1:14" ht="15" customHeight="1">
      <c r="A47" s="2" t="s">
        <v>275</v>
      </c>
    </row>
    <row r="48" spans="1:14" ht="15" customHeight="1"/>
    <row r="49" spans="1:1" ht="15" customHeight="1">
      <c r="A49" s="3" t="s">
        <v>276</v>
      </c>
    </row>
    <row r="50" spans="1:1" ht="15" customHeight="1">
      <c r="A50" s="2" t="s">
        <v>277</v>
      </c>
    </row>
    <row r="51" spans="1:1" ht="15" customHeight="1">
      <c r="A51" s="2" t="s">
        <v>369</v>
      </c>
    </row>
    <row r="52" spans="1:1" ht="15" customHeight="1">
      <c r="A52" s="2"/>
    </row>
  </sheetData>
  <mergeCells count="3">
    <mergeCell ref="A4:H4"/>
    <mergeCell ref="A6:H6"/>
    <mergeCell ref="A7:H7"/>
  </mergeCells>
  <pageMargins left="0.70866141732283472" right="0.70866141732283472" top="0.74803149606299213" bottom="0.74803149606299213" header="0.31496062992125984" footer="0.31496062992125984"/>
  <pageSetup paperSize="9" scale="53" orientation="landscape" r:id="rId1"/>
  <headerFooter>
    <oddFooter>&amp;L&amp;Z&amp;F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6"/>
  <sheetViews>
    <sheetView workbookViewId="0"/>
  </sheetViews>
  <sheetFormatPr defaultRowHeight="12.75"/>
  <cols>
    <col min="1" max="1" width="5.5703125" style="119" customWidth="1"/>
    <col min="2" max="2" width="52.42578125" style="119" customWidth="1"/>
    <col min="3" max="3" width="9.42578125" style="119" bestFit="1" customWidth="1"/>
    <col min="4" max="16384" width="9.140625" style="119"/>
  </cols>
  <sheetData>
    <row r="1" spans="1:14" ht="18.75">
      <c r="B1" s="90" t="s">
        <v>449</v>
      </c>
      <c r="C1" s="4"/>
      <c r="D1" s="4"/>
      <c r="E1" s="4"/>
      <c r="F1" s="4"/>
      <c r="G1" s="4"/>
      <c r="H1" s="4"/>
      <c r="I1" s="4"/>
    </row>
    <row r="2" spans="1:14" ht="15.75">
      <c r="B2" s="20"/>
      <c r="C2" s="4"/>
      <c r="D2" s="4"/>
      <c r="E2" s="4"/>
      <c r="F2" s="4"/>
      <c r="G2" s="4"/>
      <c r="H2" s="4"/>
      <c r="I2" s="4"/>
    </row>
    <row r="3" spans="1:14" ht="15">
      <c r="B3" s="3" t="s">
        <v>363</v>
      </c>
      <c r="C3" s="39">
        <v>2015</v>
      </c>
      <c r="D3" s="39">
        <v>2016</v>
      </c>
      <c r="E3" s="39">
        <v>2017</v>
      </c>
      <c r="F3" s="39">
        <v>2018</v>
      </c>
      <c r="G3" s="39">
        <v>2019</v>
      </c>
      <c r="H3" s="39">
        <v>2020</v>
      </c>
      <c r="I3" s="39">
        <v>2021</v>
      </c>
      <c r="J3" s="39"/>
    </row>
    <row r="4" spans="1:14" s="123" customFormat="1" ht="15">
      <c r="A4" s="123" t="s">
        <v>355</v>
      </c>
      <c r="B4" s="123" t="s">
        <v>201</v>
      </c>
      <c r="C4" s="138">
        <f>'R&amp;D'!C209</f>
        <v>4880.716054923676</v>
      </c>
      <c r="D4" s="138">
        <f>'R&amp;D'!D209</f>
        <v>5022.0759846232077</v>
      </c>
      <c r="E4" s="138">
        <f>'R&amp;D'!E209</f>
        <v>4887.2667532497189</v>
      </c>
      <c r="F4" s="138">
        <f>'R&amp;D'!F209</f>
        <v>4874.9466981088653</v>
      </c>
      <c r="G4" s="138">
        <f>'R&amp;D'!G209</f>
        <v>4819.3830822032951</v>
      </c>
      <c r="H4" s="138">
        <f>'R&amp;D'!H209</f>
        <v>4843.4907487067212</v>
      </c>
      <c r="I4" s="138">
        <f>'R&amp;D'!I209</f>
        <v>4834.1891710345963</v>
      </c>
      <c r="K4" s="174"/>
    </row>
    <row r="5" spans="1:14" s="56" customFormat="1" ht="15">
      <c r="B5" s="54" t="s">
        <v>204</v>
      </c>
      <c r="C5" s="55">
        <f>'R&amp;D'!P209</f>
        <v>1121.8769523809524</v>
      </c>
      <c r="D5" s="55">
        <f>'R&amp;D'!Q209</f>
        <v>1189.3754799999999</v>
      </c>
      <c r="E5" s="55">
        <f>'R&amp;D'!R209</f>
        <v>1111.3748033333331</v>
      </c>
      <c r="F5" s="55">
        <f>'R&amp;D'!S209</f>
        <v>1115.4950933333332</v>
      </c>
      <c r="G5" s="55">
        <f>'R&amp;D'!T209</f>
        <v>1098.1038733333332</v>
      </c>
      <c r="H5" s="55">
        <f>'R&amp;D'!U209</f>
        <v>1107.3929900000001</v>
      </c>
      <c r="I5" s="55">
        <f>'R&amp;D'!V209</f>
        <v>1103.6302899999998</v>
      </c>
    </row>
    <row r="6" spans="1:14" s="123" customFormat="1" ht="15">
      <c r="A6" s="123" t="s">
        <v>356</v>
      </c>
      <c r="B6" s="2" t="s">
        <v>205</v>
      </c>
      <c r="C6" s="138">
        <f>Innovatie!C87</f>
        <v>241.93647999999999</v>
      </c>
      <c r="D6" s="138">
        <f>Innovatie!D87</f>
        <v>324.00579999999991</v>
      </c>
      <c r="E6" s="138">
        <f>Innovatie!E87</f>
        <v>281.70495</v>
      </c>
      <c r="F6" s="138">
        <f>Innovatie!F87</f>
        <v>276.21132999999992</v>
      </c>
      <c r="G6" s="138">
        <f>Innovatie!G87</f>
        <v>268.07362999999998</v>
      </c>
      <c r="H6" s="138">
        <f>Innovatie!H87</f>
        <v>261.72113000000002</v>
      </c>
      <c r="I6" s="138">
        <f>Innovatie!I87</f>
        <v>230.30332999999996</v>
      </c>
    </row>
    <row r="7" spans="1:14" s="123" customFormat="1" ht="15">
      <c r="A7" s="123" t="s">
        <v>357</v>
      </c>
      <c r="B7" s="123" t="s">
        <v>200</v>
      </c>
      <c r="C7" s="138">
        <f>Fiscaal!B9</f>
        <v>1009.776</v>
      </c>
      <c r="D7" s="138">
        <f>Fiscaal!C9</f>
        <v>1153.75</v>
      </c>
      <c r="E7" s="138">
        <f>Fiscaal!D9</f>
        <v>1215.75</v>
      </c>
      <c r="F7" s="138">
        <f>Fiscaal!E9</f>
        <v>1215.75</v>
      </c>
      <c r="G7" s="138">
        <f>Fiscaal!F9</f>
        <v>1215.75</v>
      </c>
      <c r="H7" s="138">
        <f>Fiscaal!G9</f>
        <v>1215.75</v>
      </c>
      <c r="I7" s="138">
        <f>Fiscaal!H9</f>
        <v>1215.75</v>
      </c>
    </row>
    <row r="8" spans="1:14" s="57" customFormat="1" ht="15.75">
      <c r="B8" s="57" t="s">
        <v>203</v>
      </c>
      <c r="C8" s="58">
        <f>+C4+C6+C7</f>
        <v>6132.4285349236761</v>
      </c>
      <c r="D8" s="58">
        <f t="shared" ref="D8:I8" si="0">+D4+D6+D7</f>
        <v>6499.8317846232076</v>
      </c>
      <c r="E8" s="58">
        <f t="shared" si="0"/>
        <v>6384.7217032497192</v>
      </c>
      <c r="F8" s="58">
        <f t="shared" si="0"/>
        <v>6366.9080281088654</v>
      </c>
      <c r="G8" s="58">
        <f t="shared" si="0"/>
        <v>6303.206712203295</v>
      </c>
      <c r="H8" s="58">
        <f t="shared" si="0"/>
        <v>6320.9618787067211</v>
      </c>
      <c r="I8" s="58">
        <f t="shared" si="0"/>
        <v>6280.242501034596</v>
      </c>
      <c r="K8" s="58"/>
    </row>
    <row r="9" spans="1:14" s="56" customFormat="1" ht="15">
      <c r="B9" s="54" t="s">
        <v>549</v>
      </c>
      <c r="C9" s="55">
        <f>+C5+C6+C7</f>
        <v>2373.5894323809525</v>
      </c>
      <c r="D9" s="55">
        <f t="shared" ref="D9:I9" si="1">+D5+D6+D7</f>
        <v>2667.1312799999996</v>
      </c>
      <c r="E9" s="55">
        <f t="shared" si="1"/>
        <v>2608.8297533333334</v>
      </c>
      <c r="F9" s="55">
        <f t="shared" si="1"/>
        <v>2607.4564233333331</v>
      </c>
      <c r="G9" s="55">
        <f t="shared" si="1"/>
        <v>2581.9275033333333</v>
      </c>
      <c r="H9" s="55">
        <f t="shared" si="1"/>
        <v>2584.8641200000002</v>
      </c>
      <c r="I9" s="55">
        <f t="shared" si="1"/>
        <v>2549.6836199999998</v>
      </c>
      <c r="N9" s="273"/>
    </row>
    <row r="10" spans="1:14" s="93" customFormat="1" ht="15">
      <c r="B10" s="54" t="s">
        <v>304</v>
      </c>
      <c r="C10" s="92">
        <f>+C9/C8*100</f>
        <v>38.70553760004794</v>
      </c>
      <c r="D10" s="92">
        <f t="shared" ref="D10:I10" si="2">+D9/D8*100</f>
        <v>41.033850849951065</v>
      </c>
      <c r="E10" s="92">
        <f t="shared" si="2"/>
        <v>40.860508485522267</v>
      </c>
      <c r="F10" s="92">
        <f t="shared" si="2"/>
        <v>40.953260386703185</v>
      </c>
      <c r="G10" s="92">
        <f t="shared" si="2"/>
        <v>40.962126441682521</v>
      </c>
      <c r="H10" s="92">
        <f t="shared" si="2"/>
        <v>40.89352490334695</v>
      </c>
      <c r="I10" s="92">
        <f t="shared" si="2"/>
        <v>40.59848994015708</v>
      </c>
      <c r="M10" s="272"/>
    </row>
    <row r="11" spans="1:14" s="123" customFormat="1" ht="15">
      <c r="C11" s="275"/>
      <c r="D11" s="275"/>
      <c r="E11" s="282"/>
      <c r="F11" s="275"/>
      <c r="G11" s="275"/>
      <c r="H11" s="275"/>
      <c r="I11" s="275"/>
    </row>
    <row r="12" spans="1:14" ht="15">
      <c r="B12" s="39" t="s">
        <v>362</v>
      </c>
      <c r="C12" s="39">
        <f>C3</f>
        <v>2015</v>
      </c>
      <c r="D12" s="39">
        <f t="shared" ref="D12:I12" si="3">D3</f>
        <v>2016</v>
      </c>
      <c r="E12" s="39">
        <f t="shared" si="3"/>
        <v>2017</v>
      </c>
      <c r="F12" s="39">
        <f t="shared" si="3"/>
        <v>2018</v>
      </c>
      <c r="G12" s="39">
        <f t="shared" si="3"/>
        <v>2019</v>
      </c>
      <c r="H12" s="39">
        <f t="shared" si="3"/>
        <v>2020</v>
      </c>
      <c r="I12" s="39">
        <f t="shared" si="3"/>
        <v>2021</v>
      </c>
    </row>
    <row r="13" spans="1:14" s="123" customFormat="1" ht="15">
      <c r="A13" s="123" t="s">
        <v>355</v>
      </c>
      <c r="B13" s="123" t="s">
        <v>358</v>
      </c>
      <c r="C13" s="139">
        <f>+C4/C19/10</f>
        <v>0.7214657878675057</v>
      </c>
      <c r="D13" s="139">
        <f>+D4/D19/10</f>
        <v>0.72032070921159019</v>
      </c>
      <c r="E13" s="139">
        <f>+E4/E19/10</f>
        <v>0.68660673689937046</v>
      </c>
      <c r="F13" s="139">
        <f t="shared" ref="F13:I13" si="4">+F4/F19/10</f>
        <v>0.67277762877571967</v>
      </c>
      <c r="G13" s="139">
        <f t="shared" si="4"/>
        <v>0.65400774626181235</v>
      </c>
      <c r="H13" s="139">
        <f t="shared" si="4"/>
        <v>0.64622958621837512</v>
      </c>
      <c r="I13" s="139">
        <f t="shared" si="4"/>
        <v>0.63424156009375443</v>
      </c>
    </row>
    <row r="14" spans="1:14" s="123" customFormat="1" ht="15">
      <c r="A14" s="123" t="s">
        <v>356</v>
      </c>
      <c r="B14" s="2" t="s">
        <v>359</v>
      </c>
      <c r="C14" s="139">
        <f>+C6/C19/10</f>
        <v>3.5762968218773096E-2</v>
      </c>
      <c r="D14" s="139">
        <f>+D6/D19/10</f>
        <v>4.6472432587492812E-2</v>
      </c>
      <c r="E14" s="139">
        <f>+E6/E19/10</f>
        <v>3.9576418937903909E-2</v>
      </c>
      <c r="F14" s="139">
        <f t="shared" ref="F14:I14" si="5">+F6/F19/10</f>
        <v>3.8119145735578237E-2</v>
      </c>
      <c r="G14" s="139">
        <f t="shared" si="5"/>
        <v>3.6378562898629389E-2</v>
      </c>
      <c r="H14" s="139">
        <f t="shared" si="5"/>
        <v>3.4919430286857907E-2</v>
      </c>
      <c r="I14" s="139">
        <f t="shared" si="5"/>
        <v>3.0215603516137491E-2</v>
      </c>
    </row>
    <row r="15" spans="1:14" s="123" customFormat="1" ht="15">
      <c r="A15" s="123" t="s">
        <v>357</v>
      </c>
      <c r="B15" s="123" t="s">
        <v>361</v>
      </c>
      <c r="C15" s="139">
        <f>+C7/C19/10</f>
        <v>0.14926474501108647</v>
      </c>
      <c r="D15" s="139">
        <f>+D7/D19/10</f>
        <v>0.16548336201950659</v>
      </c>
      <c r="E15" s="139">
        <f>+E7/E19/10</f>
        <v>0.17079938184883395</v>
      </c>
      <c r="F15" s="139">
        <f t="shared" ref="F15:I15" si="6">+F7/F19/10</f>
        <v>0.16778222467568313</v>
      </c>
      <c r="G15" s="139">
        <f t="shared" si="6"/>
        <v>0.16498168001085628</v>
      </c>
      <c r="H15" s="139">
        <f t="shared" si="6"/>
        <v>0.16220813875917278</v>
      </c>
      <c r="I15" s="139">
        <f t="shared" si="6"/>
        <v>0.15950537916557334</v>
      </c>
    </row>
    <row r="16" spans="1:14" s="123" customFormat="1" ht="15">
      <c r="B16" s="39" t="s">
        <v>360</v>
      </c>
      <c r="C16" s="124">
        <f>+C8/C19/10</f>
        <v>0.90649350109736526</v>
      </c>
      <c r="D16" s="124">
        <f>+D8/D19/10</f>
        <v>0.93227650381858973</v>
      </c>
      <c r="E16" s="124">
        <f>+E8/E19/10</f>
        <v>0.89698253768610847</v>
      </c>
      <c r="F16" s="124">
        <f t="shared" ref="F16:I16" si="7">+F8/F19/10</f>
        <v>0.87867899918698122</v>
      </c>
      <c r="G16" s="124">
        <f t="shared" si="7"/>
        <v>0.85536798917129797</v>
      </c>
      <c r="H16" s="124">
        <f t="shared" si="7"/>
        <v>0.84335715526440569</v>
      </c>
      <c r="I16" s="124">
        <f t="shared" si="7"/>
        <v>0.8239625427754651</v>
      </c>
    </row>
    <row r="17" spans="2:10" ht="15">
      <c r="B17" s="54" t="s">
        <v>550</v>
      </c>
      <c r="C17" s="132">
        <f>+C9/C19/10</f>
        <v>0.35086318290923174</v>
      </c>
      <c r="D17" s="132">
        <f>+D9/D19/10</f>
        <v>0.38254895008605844</v>
      </c>
      <c r="E17" s="132">
        <f>+E9/E19/10</f>
        <v>0.36651162592488529</v>
      </c>
      <c r="F17" s="132">
        <f t="shared" ref="F17:I17" si="8">+F9/F19/10</f>
        <v>0.35984769850032194</v>
      </c>
      <c r="G17" s="132">
        <f t="shared" si="8"/>
        <v>0.35037691726602438</v>
      </c>
      <c r="H17" s="132">
        <f t="shared" si="8"/>
        <v>0.34487846831220814</v>
      </c>
      <c r="I17" s="132">
        <f t="shared" si="8"/>
        <v>0.3345163500393597</v>
      </c>
    </row>
    <row r="18" spans="2:10">
      <c r="B18" s="131"/>
    </row>
    <row r="19" spans="2:10" s="159" customFormat="1" ht="15">
      <c r="B19" s="2" t="s">
        <v>244</v>
      </c>
      <c r="C19" s="243">
        <v>676.5</v>
      </c>
      <c r="D19" s="2">
        <v>697.2</v>
      </c>
      <c r="E19" s="2">
        <v>711.8</v>
      </c>
      <c r="F19" s="243">
        <v>724.6</v>
      </c>
      <c r="G19" s="244">
        <v>736.9</v>
      </c>
      <c r="H19" s="244">
        <v>749.5</v>
      </c>
      <c r="I19" s="244">
        <v>762.2</v>
      </c>
    </row>
    <row r="20" spans="2:10" s="123" customFormat="1" ht="15">
      <c r="C20" s="275"/>
      <c r="D20" s="275"/>
      <c r="E20" s="275"/>
      <c r="F20" s="275"/>
      <c r="G20" s="275"/>
      <c r="H20" s="275"/>
      <c r="I20" s="275"/>
    </row>
    <row r="21" spans="2:10">
      <c r="B21" s="4" t="s">
        <v>571</v>
      </c>
    </row>
    <row r="22" spans="2:10">
      <c r="B22" s="4" t="s">
        <v>547</v>
      </c>
      <c r="J22" s="119" t="s">
        <v>209</v>
      </c>
    </row>
    <row r="23" spans="2:10">
      <c r="B23" s="4" t="s">
        <v>572</v>
      </c>
    </row>
    <row r="24" spans="2:10">
      <c r="B24" s="276" t="s">
        <v>573</v>
      </c>
      <c r="C24" s="175"/>
      <c r="D24" s="175"/>
      <c r="E24" s="175"/>
      <c r="F24" s="175"/>
      <c r="G24" s="175"/>
      <c r="H24" s="175"/>
      <c r="I24" s="175"/>
    </row>
    <row r="25" spans="2:10">
      <c r="C25" s="98"/>
      <c r="D25" s="98"/>
      <c r="E25" s="98"/>
      <c r="F25" s="98"/>
      <c r="G25" s="98"/>
      <c r="H25" s="98"/>
      <c r="I25" s="98"/>
    </row>
    <row r="26" spans="2:10" ht="15">
      <c r="C26" s="243"/>
      <c r="D26" s="2"/>
      <c r="E26" s="2"/>
      <c r="F26" s="243"/>
      <c r="G26" s="244"/>
      <c r="H26" s="244"/>
      <c r="I26" s="244"/>
    </row>
  </sheetData>
  <pageMargins left="0.70866141732283472" right="0.70866141732283472" top="0.74803149606299213" bottom="0.74803149606299213" header="0.31496062992125984" footer="0.31496062992125984"/>
  <pageSetup paperSize="9" orientation="landscape" r:id="rId1"/>
  <headerFooter>
    <oddFooter>&amp;L&amp;Z&amp;F</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30"/>
  <sheetViews>
    <sheetView view="pageBreakPreview" zoomScaleNormal="100" zoomScaleSheetLayoutView="100" workbookViewId="0">
      <pane xSplit="2" topLeftCell="C1" activePane="topRight" state="frozen"/>
      <selection activeCell="A130" sqref="A130"/>
      <selection pane="topRight" activeCell="C1" sqref="C1"/>
    </sheetView>
  </sheetViews>
  <sheetFormatPr defaultRowHeight="12.75"/>
  <cols>
    <col min="1" max="1" width="13.7109375" style="4" customWidth="1"/>
    <col min="2" max="2" width="51.5703125" style="4" customWidth="1"/>
    <col min="3" max="9" width="14.140625" style="4" customWidth="1"/>
    <col min="10" max="10" width="10.85546875" style="4" customWidth="1"/>
    <col min="11" max="11" width="9.140625" style="4"/>
    <col min="12" max="13" width="11.42578125" style="4" customWidth="1"/>
    <col min="14" max="14" width="6.28515625" style="4" customWidth="1"/>
    <col min="15" max="15" width="10.5703125" style="13" bestFit="1" customWidth="1"/>
    <col min="16" max="22" width="13.28515625" style="5" customWidth="1"/>
    <col min="23" max="16384" width="9.140625" style="4"/>
  </cols>
  <sheetData>
    <row r="1" spans="1:22" ht="18.75">
      <c r="A1" s="28" t="s">
        <v>450</v>
      </c>
      <c r="B1" s="24"/>
      <c r="C1" s="24"/>
      <c r="D1" s="24"/>
      <c r="E1" s="24"/>
      <c r="F1" s="24"/>
      <c r="G1" s="24"/>
      <c r="H1" s="24"/>
      <c r="I1" s="24"/>
      <c r="J1" s="24"/>
      <c r="K1" s="24"/>
      <c r="L1" s="108"/>
      <c r="M1" s="247"/>
      <c r="N1" s="24"/>
    </row>
    <row r="3" spans="1:22">
      <c r="A3" s="27" t="s">
        <v>105</v>
      </c>
      <c r="B3" s="25" t="s">
        <v>106</v>
      </c>
      <c r="C3" s="1" t="s">
        <v>302</v>
      </c>
      <c r="D3" s="25" t="s">
        <v>107</v>
      </c>
      <c r="E3" s="25" t="s">
        <v>108</v>
      </c>
      <c r="F3" s="25" t="s">
        <v>109</v>
      </c>
      <c r="G3" s="25"/>
      <c r="H3" s="25"/>
      <c r="I3" s="25"/>
      <c r="J3" s="25" t="s">
        <v>567</v>
      </c>
      <c r="K3" s="26" t="s">
        <v>110</v>
      </c>
      <c r="L3" s="25" t="s">
        <v>80</v>
      </c>
      <c r="M3" s="25" t="s">
        <v>0</v>
      </c>
      <c r="N3" s="25" t="s">
        <v>1</v>
      </c>
      <c r="O3" s="71" t="s">
        <v>312</v>
      </c>
      <c r="P3" s="5" t="s">
        <v>436</v>
      </c>
    </row>
    <row r="4" spans="1:22">
      <c r="A4" s="27"/>
      <c r="B4" s="25"/>
      <c r="C4" s="1">
        <f>Totaal!C3</f>
        <v>2015</v>
      </c>
      <c r="D4" s="1">
        <f>Totaal!D3</f>
        <v>2016</v>
      </c>
      <c r="E4" s="1">
        <f>Totaal!E3</f>
        <v>2017</v>
      </c>
      <c r="F4" s="1">
        <f>Totaal!F3</f>
        <v>2018</v>
      </c>
      <c r="G4" s="1">
        <f>Totaal!G3</f>
        <v>2019</v>
      </c>
      <c r="H4" s="1">
        <f>Totaal!H3</f>
        <v>2020</v>
      </c>
      <c r="I4" s="1">
        <f>Totaal!I3</f>
        <v>2021</v>
      </c>
      <c r="J4" s="25"/>
      <c r="K4" s="26"/>
      <c r="L4" s="25"/>
      <c r="M4" s="25"/>
      <c r="N4" s="25"/>
      <c r="O4" s="71" t="s">
        <v>313</v>
      </c>
      <c r="P4" s="1">
        <v>2015</v>
      </c>
      <c r="Q4" s="1">
        <v>2016</v>
      </c>
      <c r="R4" s="1">
        <v>2017</v>
      </c>
      <c r="S4" s="1">
        <v>2018</v>
      </c>
      <c r="T4" s="1">
        <v>2019</v>
      </c>
      <c r="U4" s="1">
        <v>2020</v>
      </c>
      <c r="V4" s="1">
        <v>2021</v>
      </c>
    </row>
    <row r="5" spans="1:22" s="1" customFormat="1">
      <c r="O5" s="71"/>
      <c r="P5" s="67"/>
      <c r="Q5" s="67"/>
      <c r="R5" s="67"/>
      <c r="S5" s="67"/>
      <c r="T5" s="67"/>
      <c r="U5" s="67"/>
      <c r="V5" s="67"/>
    </row>
    <row r="6" spans="1:22" s="3" customFormat="1" ht="15">
      <c r="A6" s="15"/>
      <c r="B6" s="15" t="s">
        <v>61</v>
      </c>
      <c r="C6" s="15"/>
      <c r="D6" s="15"/>
      <c r="E6" s="15"/>
      <c r="F6" s="15"/>
      <c r="G6" s="15"/>
      <c r="H6" s="15"/>
      <c r="I6" s="15"/>
      <c r="J6" s="15"/>
      <c r="K6" s="15"/>
      <c r="L6" s="14"/>
      <c r="M6" s="15"/>
      <c r="N6" s="15"/>
      <c r="O6" s="15"/>
      <c r="P6" s="6"/>
      <c r="Q6" s="6"/>
      <c r="R6" s="6"/>
      <c r="S6" s="6"/>
      <c r="T6" s="6"/>
      <c r="U6" s="6"/>
      <c r="V6" s="6"/>
    </row>
    <row r="7" spans="1:22" ht="25.5">
      <c r="A7" s="7" t="s">
        <v>89</v>
      </c>
      <c r="B7" s="21" t="s">
        <v>87</v>
      </c>
      <c r="C7" s="108">
        <v>0.58299999999999996</v>
      </c>
      <c r="D7" s="108">
        <v>0.59399999999999997</v>
      </c>
      <c r="E7" s="108">
        <v>0.59399999999999997</v>
      </c>
      <c r="F7" s="108">
        <v>0.59399999999999997</v>
      </c>
      <c r="G7" s="108">
        <v>0.59399999999999997</v>
      </c>
      <c r="H7" s="108">
        <v>0.59399999999999997</v>
      </c>
      <c r="I7" s="108">
        <v>0.59399999999999997</v>
      </c>
      <c r="J7" s="4">
        <v>100</v>
      </c>
      <c r="K7" s="4">
        <v>11</v>
      </c>
      <c r="L7" s="108" t="s">
        <v>88</v>
      </c>
      <c r="M7" s="4" t="s">
        <v>11</v>
      </c>
      <c r="N7" s="4" t="s">
        <v>59</v>
      </c>
      <c r="O7" s="13">
        <v>0</v>
      </c>
    </row>
    <row r="8" spans="1:22" s="3" customFormat="1" ht="15">
      <c r="A8" s="87"/>
      <c r="B8" s="22" t="s">
        <v>91</v>
      </c>
      <c r="C8" s="114">
        <f>C7</f>
        <v>0.58299999999999996</v>
      </c>
      <c r="D8" s="114">
        <f t="shared" ref="D8:I8" si="0">D7</f>
        <v>0.59399999999999997</v>
      </c>
      <c r="E8" s="114">
        <f t="shared" si="0"/>
        <v>0.59399999999999997</v>
      </c>
      <c r="F8" s="114">
        <f t="shared" si="0"/>
        <v>0.59399999999999997</v>
      </c>
      <c r="G8" s="114">
        <f t="shared" si="0"/>
        <v>0.59399999999999997</v>
      </c>
      <c r="H8" s="114">
        <f t="shared" si="0"/>
        <v>0.59399999999999997</v>
      </c>
      <c r="I8" s="114">
        <f t="shared" si="0"/>
        <v>0.59399999999999997</v>
      </c>
      <c r="J8" s="1"/>
      <c r="K8" s="1"/>
      <c r="L8" s="25"/>
      <c r="M8" s="1"/>
      <c r="N8" s="1"/>
      <c r="O8" s="71"/>
      <c r="P8" s="6"/>
      <c r="Q8" s="6"/>
      <c r="R8" s="6"/>
      <c r="S8" s="6"/>
      <c r="T8" s="6"/>
      <c r="U8" s="6"/>
      <c r="V8" s="6"/>
    </row>
    <row r="9" spans="1:22" s="1" customFormat="1">
      <c r="C9" s="59"/>
      <c r="D9" s="59"/>
      <c r="E9" s="59"/>
      <c r="F9" s="59"/>
      <c r="G9" s="59"/>
      <c r="H9" s="59"/>
      <c r="I9" s="59"/>
      <c r="O9" s="71"/>
      <c r="P9" s="67"/>
      <c r="Q9" s="67"/>
      <c r="R9" s="67"/>
      <c r="S9" s="67"/>
      <c r="T9" s="67"/>
      <c r="U9" s="67"/>
      <c r="V9" s="67"/>
    </row>
    <row r="10" spans="1:22" s="3" customFormat="1" ht="15">
      <c r="A10" s="15"/>
      <c r="B10" s="15" t="s">
        <v>62</v>
      </c>
      <c r="C10" s="60"/>
      <c r="D10" s="60"/>
      <c r="E10" s="60"/>
      <c r="F10" s="60"/>
      <c r="G10" s="60"/>
      <c r="H10" s="60"/>
      <c r="I10" s="60"/>
      <c r="J10" s="15"/>
      <c r="K10" s="15"/>
      <c r="L10" s="14"/>
      <c r="M10" s="15"/>
      <c r="N10" s="15"/>
      <c r="O10" s="15"/>
      <c r="P10" s="6"/>
      <c r="Q10" s="6"/>
      <c r="R10" s="6"/>
      <c r="S10" s="6"/>
      <c r="T10" s="6"/>
      <c r="U10" s="6"/>
      <c r="V10" s="6"/>
    </row>
    <row r="11" spans="1:22" s="7" customFormat="1">
      <c r="A11" s="7" t="s">
        <v>206</v>
      </c>
      <c r="B11" s="7" t="s">
        <v>207</v>
      </c>
      <c r="C11" s="173">
        <v>0.20499999999999999</v>
      </c>
      <c r="D11" s="173">
        <v>0.23199999999999998</v>
      </c>
      <c r="E11" s="173">
        <v>0.24199999999999999</v>
      </c>
      <c r="F11" s="173">
        <v>0.24199999999999999</v>
      </c>
      <c r="G11" s="173">
        <v>0.24199999999999999</v>
      </c>
      <c r="H11" s="173">
        <v>0.24199999999999999</v>
      </c>
      <c r="I11" s="173">
        <v>0.24199999999999999</v>
      </c>
      <c r="J11" s="7">
        <v>10</v>
      </c>
      <c r="K11" s="116">
        <v>11</v>
      </c>
      <c r="L11" s="116" t="s">
        <v>88</v>
      </c>
      <c r="M11" s="7" t="s">
        <v>9</v>
      </c>
      <c r="N11" s="7" t="s">
        <v>58</v>
      </c>
      <c r="O11" s="73">
        <v>0</v>
      </c>
      <c r="P11" s="68"/>
      <c r="Q11" s="68"/>
      <c r="R11" s="68"/>
      <c r="S11" s="68"/>
      <c r="T11" s="68"/>
      <c r="U11" s="68"/>
      <c r="V11" s="68"/>
    </row>
    <row r="12" spans="1:22" s="7" customFormat="1">
      <c r="A12" s="7" t="s">
        <v>340</v>
      </c>
      <c r="B12" s="7" t="s">
        <v>225</v>
      </c>
      <c r="C12" s="173">
        <v>2.1000000000000001E-2</v>
      </c>
      <c r="D12" s="173">
        <v>0</v>
      </c>
      <c r="E12" s="173">
        <v>0</v>
      </c>
      <c r="F12" s="173">
        <v>0</v>
      </c>
      <c r="G12" s="173">
        <v>0</v>
      </c>
      <c r="H12" s="173">
        <v>0</v>
      </c>
      <c r="I12" s="173">
        <v>0</v>
      </c>
      <c r="J12" s="7">
        <v>25</v>
      </c>
      <c r="K12" s="116">
        <v>11</v>
      </c>
      <c r="L12" s="116" t="s">
        <v>88</v>
      </c>
      <c r="M12" s="7" t="s">
        <v>9</v>
      </c>
      <c r="N12" s="7" t="s">
        <v>58</v>
      </c>
      <c r="O12" s="73">
        <v>0</v>
      </c>
      <c r="P12" s="68"/>
      <c r="Q12" s="68"/>
      <c r="R12" s="68"/>
      <c r="S12" s="68"/>
      <c r="T12" s="68"/>
      <c r="U12" s="68"/>
      <c r="V12" s="68"/>
    </row>
    <row r="13" spans="1:22" s="7" customFormat="1">
      <c r="A13" s="7" t="s">
        <v>341</v>
      </c>
      <c r="B13" s="7" t="s">
        <v>208</v>
      </c>
      <c r="C13" s="173">
        <v>3.1749999999999998</v>
      </c>
      <c r="D13" s="173">
        <v>4</v>
      </c>
      <c r="E13" s="173">
        <v>3</v>
      </c>
      <c r="F13" s="173">
        <v>3</v>
      </c>
      <c r="G13" s="173">
        <v>3</v>
      </c>
      <c r="H13" s="173">
        <v>3</v>
      </c>
      <c r="I13" s="173">
        <v>3</v>
      </c>
      <c r="J13" s="7">
        <v>100</v>
      </c>
      <c r="K13" s="116">
        <v>11</v>
      </c>
      <c r="L13" s="116" t="s">
        <v>88</v>
      </c>
      <c r="M13" s="7" t="s">
        <v>13</v>
      </c>
      <c r="N13" s="7" t="s">
        <v>59</v>
      </c>
      <c r="O13" s="73">
        <v>0</v>
      </c>
      <c r="P13" s="68"/>
      <c r="Q13" s="68"/>
      <c r="R13" s="68"/>
      <c r="S13" s="68"/>
      <c r="T13" s="68"/>
      <c r="U13" s="68"/>
      <c r="V13" s="68"/>
    </row>
    <row r="14" spans="1:22" s="7" customFormat="1">
      <c r="A14" s="7" t="s">
        <v>232</v>
      </c>
      <c r="B14" s="7" t="s">
        <v>342</v>
      </c>
      <c r="C14" s="65">
        <v>20.483000000000001</v>
      </c>
      <c r="D14" s="65">
        <v>23.965</v>
      </c>
      <c r="E14" s="65">
        <v>22.622</v>
      </c>
      <c r="F14" s="65">
        <v>22.327000000000002</v>
      </c>
      <c r="G14" s="65">
        <v>22.274999999999999</v>
      </c>
      <c r="H14" s="65">
        <v>22.274999999999999</v>
      </c>
      <c r="I14" s="65">
        <v>22.274999999999999</v>
      </c>
      <c r="J14" s="7">
        <v>5</v>
      </c>
      <c r="K14" s="116">
        <v>11</v>
      </c>
      <c r="L14" s="116" t="s">
        <v>88</v>
      </c>
      <c r="M14" s="7" t="s">
        <v>13</v>
      </c>
      <c r="N14" s="7" t="s">
        <v>59</v>
      </c>
      <c r="O14" s="73">
        <v>0</v>
      </c>
      <c r="P14" s="68"/>
      <c r="Q14" s="68"/>
      <c r="R14" s="68"/>
      <c r="S14" s="68"/>
      <c r="T14" s="68"/>
      <c r="U14" s="68"/>
      <c r="V14" s="68"/>
    </row>
    <row r="15" spans="1:22">
      <c r="A15" s="4" t="s">
        <v>343</v>
      </c>
      <c r="B15" s="4" t="s">
        <v>344</v>
      </c>
      <c r="C15" s="62">
        <v>5.6870000000000003</v>
      </c>
      <c r="D15" s="62">
        <v>6.3460000000000001</v>
      </c>
      <c r="E15" s="62">
        <v>6.3529999999999998</v>
      </c>
      <c r="F15" s="62">
        <v>6.5119999999999996</v>
      </c>
      <c r="G15" s="62">
        <v>6.5140000000000002</v>
      </c>
      <c r="H15" s="62">
        <v>6.5140000000000002</v>
      </c>
      <c r="I15" s="62">
        <v>6.5140000000000002</v>
      </c>
      <c r="J15" s="4">
        <v>5</v>
      </c>
      <c r="K15" s="116">
        <v>11</v>
      </c>
      <c r="L15" s="116" t="s">
        <v>88</v>
      </c>
      <c r="M15" s="7" t="s">
        <v>13</v>
      </c>
      <c r="N15" s="7" t="s">
        <v>59</v>
      </c>
      <c r="O15" s="13">
        <v>0</v>
      </c>
    </row>
    <row r="16" spans="1:22">
      <c r="A16" s="4" t="s">
        <v>345</v>
      </c>
      <c r="B16" s="4" t="s">
        <v>346</v>
      </c>
      <c r="C16" s="62">
        <v>5.343</v>
      </c>
      <c r="D16" s="62">
        <v>5.3570000000000002</v>
      </c>
      <c r="E16" s="62">
        <v>5.2489999999999997</v>
      </c>
      <c r="F16" s="62">
        <v>5.6760000000000002</v>
      </c>
      <c r="G16" s="62">
        <v>5.8109999999999999</v>
      </c>
      <c r="H16" s="62">
        <v>5.8109999999999999</v>
      </c>
      <c r="I16" s="62">
        <v>5.8109999999999999</v>
      </c>
      <c r="J16" s="4">
        <v>5</v>
      </c>
      <c r="K16" s="116">
        <v>11</v>
      </c>
      <c r="L16" s="116" t="s">
        <v>88</v>
      </c>
      <c r="M16" s="7" t="s">
        <v>13</v>
      </c>
      <c r="N16" s="7" t="s">
        <v>59</v>
      </c>
      <c r="O16" s="13">
        <v>0</v>
      </c>
    </row>
    <row r="17" spans="1:22" s="3" customFormat="1" ht="15">
      <c r="B17" s="3" t="s">
        <v>92</v>
      </c>
      <c r="C17" s="12">
        <f>SUM(C11:C16)</f>
        <v>34.914000000000001</v>
      </c>
      <c r="D17" s="12">
        <f t="shared" ref="D17:I17" si="1">SUM(D11:D16)</f>
        <v>39.9</v>
      </c>
      <c r="E17" s="12">
        <f t="shared" si="1"/>
        <v>37.466000000000001</v>
      </c>
      <c r="F17" s="12">
        <f t="shared" si="1"/>
        <v>37.757000000000005</v>
      </c>
      <c r="G17" s="12">
        <f t="shared" si="1"/>
        <v>37.841999999999999</v>
      </c>
      <c r="H17" s="12">
        <f t="shared" si="1"/>
        <v>37.841999999999999</v>
      </c>
      <c r="I17" s="12">
        <f t="shared" si="1"/>
        <v>37.841999999999999</v>
      </c>
      <c r="O17" s="72"/>
      <c r="P17" s="6"/>
      <c r="Q17" s="6"/>
      <c r="R17" s="6"/>
      <c r="S17" s="6"/>
      <c r="T17" s="6"/>
      <c r="U17" s="6"/>
      <c r="V17" s="6"/>
    </row>
    <row r="18" spans="1:22" s="1" customFormat="1">
      <c r="C18" s="59"/>
      <c r="D18" s="59"/>
      <c r="E18" s="59"/>
      <c r="F18" s="59"/>
      <c r="G18" s="59"/>
      <c r="H18" s="59"/>
      <c r="I18" s="59"/>
      <c r="O18" s="71"/>
      <c r="P18" s="67"/>
      <c r="Q18" s="67"/>
      <c r="R18" s="67"/>
      <c r="S18" s="67"/>
      <c r="T18" s="67"/>
      <c r="U18" s="67"/>
      <c r="V18" s="67"/>
    </row>
    <row r="19" spans="1:22" s="1" customFormat="1" ht="15">
      <c r="A19" s="14"/>
      <c r="B19" s="15" t="s">
        <v>63</v>
      </c>
      <c r="C19" s="61"/>
      <c r="D19" s="61"/>
      <c r="E19" s="61"/>
      <c r="F19" s="61"/>
      <c r="G19" s="61"/>
      <c r="H19" s="61"/>
      <c r="I19" s="61"/>
      <c r="J19" s="14"/>
      <c r="K19" s="14"/>
      <c r="L19" s="14"/>
      <c r="M19" s="14"/>
      <c r="N19" s="14"/>
      <c r="O19" s="14"/>
      <c r="P19" s="67"/>
      <c r="Q19" s="67"/>
      <c r="R19" s="67"/>
      <c r="S19" s="67"/>
      <c r="T19" s="67"/>
      <c r="U19" s="67"/>
      <c r="V19" s="67"/>
    </row>
    <row r="20" spans="1:22">
      <c r="A20" s="143" t="s">
        <v>97</v>
      </c>
      <c r="B20" s="116" t="s">
        <v>99</v>
      </c>
      <c r="C20" s="117">
        <v>2.7149999999999999</v>
      </c>
      <c r="D20" s="117">
        <v>2.488</v>
      </c>
      <c r="E20" s="117">
        <v>2.4620000000000002</v>
      </c>
      <c r="F20" s="117">
        <v>2.4670000000000001</v>
      </c>
      <c r="G20" s="117">
        <v>2.4670000000000001</v>
      </c>
      <c r="H20" s="117">
        <v>2.4670000000000001</v>
      </c>
      <c r="I20" s="117">
        <v>2.4689999999999999</v>
      </c>
      <c r="J20" s="116">
        <v>10</v>
      </c>
      <c r="K20" s="116">
        <v>11</v>
      </c>
      <c r="L20" s="116" t="s">
        <v>88</v>
      </c>
      <c r="M20" s="116" t="s">
        <v>100</v>
      </c>
      <c r="N20" s="4" t="s">
        <v>59</v>
      </c>
      <c r="O20" s="13">
        <v>0</v>
      </c>
    </row>
    <row r="21" spans="1:22">
      <c r="A21" s="143" t="s">
        <v>97</v>
      </c>
      <c r="B21" s="116" t="s">
        <v>101</v>
      </c>
      <c r="C21" s="117">
        <v>2.7160000000000002</v>
      </c>
      <c r="D21" s="117">
        <v>2.4889999999999999</v>
      </c>
      <c r="E21" s="117">
        <v>2.4630000000000001</v>
      </c>
      <c r="F21" s="117">
        <v>2.4670000000000001</v>
      </c>
      <c r="G21" s="117">
        <v>2.468</v>
      </c>
      <c r="H21" s="117">
        <v>2.468</v>
      </c>
      <c r="I21" s="117">
        <v>2.4689999999999999</v>
      </c>
      <c r="J21" s="116">
        <v>10</v>
      </c>
      <c r="K21" s="116">
        <v>11</v>
      </c>
      <c r="L21" s="116" t="s">
        <v>88</v>
      </c>
      <c r="M21" s="116" t="s">
        <v>9</v>
      </c>
      <c r="N21" s="4" t="s">
        <v>59</v>
      </c>
      <c r="O21" s="13">
        <v>0</v>
      </c>
    </row>
    <row r="22" spans="1:22">
      <c r="A22" s="143" t="s">
        <v>97</v>
      </c>
      <c r="B22" s="116" t="s">
        <v>102</v>
      </c>
      <c r="C22" s="117">
        <v>6.375</v>
      </c>
      <c r="D22" s="117">
        <v>6.7</v>
      </c>
      <c r="E22" s="117">
        <v>6.7</v>
      </c>
      <c r="F22" s="117">
        <v>6.7</v>
      </c>
      <c r="G22" s="117">
        <v>6.7</v>
      </c>
      <c r="H22" s="117">
        <v>6.7</v>
      </c>
      <c r="I22" s="117">
        <v>6.7</v>
      </c>
      <c r="J22" s="116">
        <v>15</v>
      </c>
      <c r="K22" s="116">
        <v>11</v>
      </c>
      <c r="L22" s="116" t="s">
        <v>88</v>
      </c>
      <c r="M22" s="116" t="s">
        <v>11</v>
      </c>
      <c r="N22" s="116" t="s">
        <v>58</v>
      </c>
      <c r="O22" s="13">
        <v>0</v>
      </c>
    </row>
    <row r="23" spans="1:22" s="7" customFormat="1">
      <c r="A23" s="143" t="s">
        <v>370</v>
      </c>
      <c r="B23" s="143" t="s">
        <v>104</v>
      </c>
      <c r="C23" s="146">
        <v>10.29</v>
      </c>
      <c r="D23" s="146">
        <v>9.8439999999999994</v>
      </c>
      <c r="E23" s="146">
        <v>9.4860000000000007</v>
      </c>
      <c r="F23" s="146">
        <v>9.3379999999999992</v>
      </c>
      <c r="G23" s="146">
        <v>9.3719999999999999</v>
      </c>
      <c r="H23" s="146">
        <v>9.3819999999999997</v>
      </c>
      <c r="I23" s="146">
        <v>9.3819999999999997</v>
      </c>
      <c r="J23" s="207">
        <v>14</v>
      </c>
      <c r="K23" s="143">
        <v>11</v>
      </c>
      <c r="L23" s="143" t="s">
        <v>88</v>
      </c>
      <c r="M23" s="143" t="s">
        <v>11</v>
      </c>
      <c r="N23" s="143" t="s">
        <v>58</v>
      </c>
      <c r="O23" s="73">
        <v>67</v>
      </c>
      <c r="P23" s="68">
        <f>+$O23/100*C23</f>
        <v>6.8942999999999994</v>
      </c>
      <c r="Q23" s="68">
        <f t="shared" ref="Q23:V23" si="2">+$O23/100*D23</f>
        <v>6.5954800000000002</v>
      </c>
      <c r="R23" s="68">
        <f t="shared" si="2"/>
        <v>6.3556200000000009</v>
      </c>
      <c r="S23" s="68">
        <f t="shared" si="2"/>
        <v>6.2564599999999997</v>
      </c>
      <c r="T23" s="68">
        <f t="shared" si="2"/>
        <v>6.2792400000000006</v>
      </c>
      <c r="U23" s="68">
        <f t="shared" si="2"/>
        <v>6.2859400000000001</v>
      </c>
      <c r="V23" s="68">
        <f t="shared" si="2"/>
        <v>6.2859400000000001</v>
      </c>
    </row>
    <row r="24" spans="1:22" s="3" customFormat="1" ht="15">
      <c r="A24" s="87"/>
      <c r="B24" s="3" t="s">
        <v>93</v>
      </c>
      <c r="C24" s="12">
        <f t="shared" ref="C24:I24" si="3">SUM(C20:C23)</f>
        <v>22.096</v>
      </c>
      <c r="D24" s="12">
        <f t="shared" si="3"/>
        <v>21.521000000000001</v>
      </c>
      <c r="E24" s="12">
        <f t="shared" si="3"/>
        <v>21.111000000000001</v>
      </c>
      <c r="F24" s="12">
        <f t="shared" si="3"/>
        <v>20.972000000000001</v>
      </c>
      <c r="G24" s="12">
        <f t="shared" si="3"/>
        <v>21.007000000000001</v>
      </c>
      <c r="H24" s="12">
        <f t="shared" si="3"/>
        <v>21.017000000000003</v>
      </c>
      <c r="I24" s="12">
        <f t="shared" si="3"/>
        <v>21.02</v>
      </c>
      <c r="L24" s="1"/>
      <c r="O24" s="72"/>
      <c r="P24" s="6">
        <f t="shared" ref="P24:V24" si="4">SUM(P20:P23)</f>
        <v>6.8942999999999994</v>
      </c>
      <c r="Q24" s="6">
        <f t="shared" si="4"/>
        <v>6.5954800000000002</v>
      </c>
      <c r="R24" s="6">
        <f t="shared" si="4"/>
        <v>6.3556200000000009</v>
      </c>
      <c r="S24" s="6">
        <f t="shared" si="4"/>
        <v>6.2564599999999997</v>
      </c>
      <c r="T24" s="6">
        <f t="shared" si="4"/>
        <v>6.2792400000000006</v>
      </c>
      <c r="U24" s="6">
        <f t="shared" si="4"/>
        <v>6.2859400000000001</v>
      </c>
      <c r="V24" s="6">
        <f t="shared" si="4"/>
        <v>6.2859400000000001</v>
      </c>
    </row>
    <row r="25" spans="1:22" s="3" customFormat="1" ht="15">
      <c r="C25" s="12"/>
      <c r="D25" s="12"/>
      <c r="E25" s="12"/>
      <c r="F25" s="12"/>
      <c r="G25" s="12"/>
      <c r="H25" s="12"/>
      <c r="I25" s="12"/>
      <c r="L25" s="1"/>
      <c r="O25" s="72"/>
      <c r="P25" s="6"/>
      <c r="Q25" s="6"/>
      <c r="R25" s="6"/>
      <c r="S25" s="6"/>
      <c r="T25" s="6"/>
      <c r="U25" s="6"/>
      <c r="V25" s="6"/>
    </row>
    <row r="26" spans="1:22" s="3" customFormat="1" ht="15">
      <c r="A26" s="15"/>
      <c r="B26" s="15" t="s">
        <v>95</v>
      </c>
      <c r="C26" s="60"/>
      <c r="D26" s="60"/>
      <c r="E26" s="60"/>
      <c r="F26" s="60"/>
      <c r="G26" s="60"/>
      <c r="H26" s="60"/>
      <c r="I26" s="60"/>
      <c r="J26" s="15"/>
      <c r="K26" s="15"/>
      <c r="L26" s="14"/>
      <c r="M26" s="15"/>
      <c r="N26" s="15"/>
      <c r="O26" s="15"/>
      <c r="P26" s="6"/>
      <c r="Q26" s="6"/>
      <c r="R26" s="6"/>
      <c r="S26" s="6"/>
      <c r="T26" s="6"/>
      <c r="U26" s="6"/>
      <c r="V26" s="6"/>
    </row>
    <row r="27" spans="1:22" s="1" customFormat="1">
      <c r="A27" s="143" t="s">
        <v>319</v>
      </c>
      <c r="B27" s="108" t="s">
        <v>320</v>
      </c>
      <c r="C27" s="109">
        <v>3.4249999999999998</v>
      </c>
      <c r="D27" s="109">
        <v>3.581</v>
      </c>
      <c r="E27" s="109">
        <v>2.9049999999999998</v>
      </c>
      <c r="F27" s="109">
        <v>2.4950000000000001</v>
      </c>
      <c r="G27" s="109">
        <v>2.5049999999999999</v>
      </c>
      <c r="H27" s="109">
        <v>2.593</v>
      </c>
      <c r="I27" s="109">
        <v>2.9849999999999999</v>
      </c>
      <c r="J27" s="108">
        <v>80</v>
      </c>
      <c r="K27" s="116">
        <v>4</v>
      </c>
      <c r="L27" s="108" t="s">
        <v>435</v>
      </c>
      <c r="M27" s="8" t="s">
        <v>14</v>
      </c>
      <c r="N27" s="108" t="s">
        <v>59</v>
      </c>
      <c r="O27" s="4">
        <v>10</v>
      </c>
      <c r="P27" s="5">
        <f>+$O27/100*C27</f>
        <v>0.34250000000000003</v>
      </c>
      <c r="Q27" s="5">
        <f>+$O27/100*D27</f>
        <v>0.35810000000000003</v>
      </c>
      <c r="R27" s="5">
        <f t="shared" ref="R27:V27" si="5">+$O27/100*E27</f>
        <v>0.29049999999999998</v>
      </c>
      <c r="S27" s="5">
        <f t="shared" si="5"/>
        <v>0.24950000000000003</v>
      </c>
      <c r="T27" s="5">
        <f t="shared" si="5"/>
        <v>0.2505</v>
      </c>
      <c r="U27" s="5">
        <f t="shared" si="5"/>
        <v>0.25930000000000003</v>
      </c>
      <c r="V27" s="5">
        <f t="shared" si="5"/>
        <v>0.29849999999999999</v>
      </c>
    </row>
    <row r="28" spans="1:22" s="1" customFormat="1">
      <c r="A28" s="143" t="s">
        <v>319</v>
      </c>
      <c r="B28" s="108" t="s">
        <v>320</v>
      </c>
      <c r="C28" s="109">
        <v>0.245</v>
      </c>
      <c r="D28" s="109">
        <v>0.25600000000000001</v>
      </c>
      <c r="E28" s="109">
        <v>0.20699999999999999</v>
      </c>
      <c r="F28" s="109">
        <v>0.17799999999999999</v>
      </c>
      <c r="G28" s="109">
        <v>0.17899999999999999</v>
      </c>
      <c r="H28" s="109">
        <v>0.185</v>
      </c>
      <c r="I28" s="109">
        <v>0.21299999999999999</v>
      </c>
      <c r="J28" s="108">
        <v>80</v>
      </c>
      <c r="K28" s="116">
        <v>4</v>
      </c>
      <c r="L28" s="108" t="s">
        <v>435</v>
      </c>
      <c r="M28" s="8" t="s">
        <v>100</v>
      </c>
      <c r="N28" s="108" t="s">
        <v>59</v>
      </c>
      <c r="O28" s="4">
        <v>10</v>
      </c>
      <c r="P28" s="5">
        <f t="shared" ref="P28:P29" si="6">+$O28/100*C28</f>
        <v>2.4500000000000001E-2</v>
      </c>
      <c r="Q28" s="5">
        <f t="shared" ref="Q28:Q29" si="7">+$O28/100*D28</f>
        <v>2.5600000000000001E-2</v>
      </c>
      <c r="R28" s="5">
        <f t="shared" ref="R28:R29" si="8">+$O28/100*E28</f>
        <v>2.07E-2</v>
      </c>
      <c r="S28" s="5">
        <f t="shared" ref="S28:S29" si="9">+$O28/100*F28</f>
        <v>1.78E-2</v>
      </c>
      <c r="T28" s="5">
        <f t="shared" ref="T28:T29" si="10">+$O28/100*G28</f>
        <v>1.7899999999999999E-2</v>
      </c>
      <c r="U28" s="5">
        <f t="shared" ref="U28:U29" si="11">+$O28/100*H28</f>
        <v>1.8499999999999999E-2</v>
      </c>
      <c r="V28" s="5">
        <f t="shared" ref="V28:V29" si="12">+$O28/100*I28</f>
        <v>2.1299999999999999E-2</v>
      </c>
    </row>
    <row r="29" spans="1:22" s="1" customFormat="1">
      <c r="A29" s="143" t="s">
        <v>319</v>
      </c>
      <c r="B29" s="108" t="s">
        <v>320</v>
      </c>
      <c r="C29" s="109">
        <v>8.5630000000000006</v>
      </c>
      <c r="D29" s="109">
        <v>8.952</v>
      </c>
      <c r="E29" s="109">
        <v>7.2619999999999996</v>
      </c>
      <c r="F29" s="109">
        <v>6.2370000000000001</v>
      </c>
      <c r="G29" s="109">
        <v>6.2619999999999996</v>
      </c>
      <c r="H29" s="109">
        <v>6.4820000000000002</v>
      </c>
      <c r="I29" s="109">
        <v>7.4619999999999997</v>
      </c>
      <c r="J29" s="108">
        <v>80</v>
      </c>
      <c r="K29" s="116">
        <v>4</v>
      </c>
      <c r="L29" s="108" t="s">
        <v>435</v>
      </c>
      <c r="M29" s="8" t="s">
        <v>9</v>
      </c>
      <c r="N29" s="108" t="s">
        <v>59</v>
      </c>
      <c r="O29" s="4">
        <v>10</v>
      </c>
      <c r="P29" s="5">
        <f t="shared" si="6"/>
        <v>0.85630000000000006</v>
      </c>
      <c r="Q29" s="5">
        <f t="shared" si="7"/>
        <v>0.8952</v>
      </c>
      <c r="R29" s="5">
        <f t="shared" si="8"/>
        <v>0.72619999999999996</v>
      </c>
      <c r="S29" s="5">
        <f t="shared" si="9"/>
        <v>0.62370000000000003</v>
      </c>
      <c r="T29" s="5">
        <f t="shared" si="10"/>
        <v>0.62619999999999998</v>
      </c>
      <c r="U29" s="5">
        <f t="shared" si="11"/>
        <v>0.64820000000000011</v>
      </c>
      <c r="V29" s="5">
        <f t="shared" si="12"/>
        <v>0.74619999999999997</v>
      </c>
    </row>
    <row r="30" spans="1:22" s="3" customFormat="1" ht="15">
      <c r="A30" s="87"/>
      <c r="B30" s="3" t="s">
        <v>96</v>
      </c>
      <c r="C30" s="6">
        <f t="shared" ref="C30:I30" si="13">SUM(C27:C29)</f>
        <v>12.233000000000001</v>
      </c>
      <c r="D30" s="6">
        <f t="shared" si="13"/>
        <v>12.789</v>
      </c>
      <c r="E30" s="6">
        <f t="shared" si="13"/>
        <v>10.373999999999999</v>
      </c>
      <c r="F30" s="6">
        <f t="shared" si="13"/>
        <v>8.91</v>
      </c>
      <c r="G30" s="6">
        <f t="shared" si="13"/>
        <v>8.9459999999999997</v>
      </c>
      <c r="H30" s="6">
        <f t="shared" si="13"/>
        <v>9.26</v>
      </c>
      <c r="I30" s="6">
        <f t="shared" si="13"/>
        <v>10.66</v>
      </c>
      <c r="L30" s="1"/>
      <c r="O30" s="72"/>
      <c r="P30" s="6">
        <f>SUM(P27:P29)</f>
        <v>1.2233000000000001</v>
      </c>
      <c r="Q30" s="6">
        <f t="shared" ref="Q30:V30" si="14">SUM(Q27:Q29)</f>
        <v>1.2789000000000001</v>
      </c>
      <c r="R30" s="6">
        <f t="shared" si="14"/>
        <v>1.0373999999999999</v>
      </c>
      <c r="S30" s="6">
        <f t="shared" si="14"/>
        <v>0.89100000000000001</v>
      </c>
      <c r="T30" s="6">
        <f t="shared" si="14"/>
        <v>0.89459999999999995</v>
      </c>
      <c r="U30" s="6">
        <f t="shared" si="14"/>
        <v>0.92600000000000016</v>
      </c>
      <c r="V30" s="6">
        <f t="shared" si="14"/>
        <v>1.0659999999999998</v>
      </c>
    </row>
    <row r="31" spans="1:22" s="1" customFormat="1">
      <c r="C31" s="59" t="s">
        <v>209</v>
      </c>
      <c r="D31" s="59"/>
      <c r="E31" s="59"/>
      <c r="F31" s="59"/>
      <c r="G31" s="59"/>
      <c r="H31" s="59"/>
      <c r="I31" s="59"/>
      <c r="O31" s="71"/>
      <c r="P31" s="67"/>
      <c r="Q31" s="67"/>
      <c r="R31" s="67"/>
      <c r="S31" s="67"/>
      <c r="T31" s="67"/>
      <c r="U31" s="67"/>
      <c r="V31" s="67"/>
    </row>
    <row r="32" spans="1:22" s="1" customFormat="1" ht="15">
      <c r="A32" s="14"/>
      <c r="B32" s="15" t="s">
        <v>64</v>
      </c>
      <c r="C32" s="158"/>
      <c r="D32" s="61"/>
      <c r="E32" s="61"/>
      <c r="F32" s="61"/>
      <c r="G32" s="61"/>
      <c r="H32" s="61"/>
      <c r="I32" s="61"/>
      <c r="J32" s="14"/>
      <c r="K32" s="14"/>
      <c r="L32" s="14"/>
      <c r="M32" s="14"/>
      <c r="N32" s="14"/>
      <c r="O32" s="14"/>
      <c r="P32" s="67"/>
      <c r="Q32" s="67"/>
      <c r="R32" s="67"/>
      <c r="S32" s="67"/>
      <c r="T32" s="67"/>
      <c r="U32" s="67"/>
      <c r="V32" s="67"/>
    </row>
    <row r="33" spans="1:23" s="23" customFormat="1">
      <c r="A33" s="163">
        <v>7</v>
      </c>
      <c r="B33" s="164" t="s">
        <v>118</v>
      </c>
      <c r="C33" s="167">
        <v>2412.444</v>
      </c>
      <c r="D33" s="167">
        <v>2476.6680000000001</v>
      </c>
      <c r="E33" s="167">
        <v>2466.1979999999999</v>
      </c>
      <c r="F33" s="167">
        <v>2450.8339999999998</v>
      </c>
      <c r="G33" s="167">
        <v>2457.6759999999999</v>
      </c>
      <c r="H33" s="167">
        <v>2476.922</v>
      </c>
      <c r="I33" s="167">
        <v>2497.4209999999998</v>
      </c>
      <c r="J33" s="245">
        <v>60.587342731383998</v>
      </c>
      <c r="K33" s="166" t="s">
        <v>546</v>
      </c>
      <c r="L33" s="164"/>
      <c r="M33" s="166"/>
      <c r="N33" s="164" t="s">
        <v>58</v>
      </c>
      <c r="O33" s="74"/>
      <c r="P33" s="188"/>
      <c r="Q33" s="188"/>
      <c r="R33" s="188"/>
      <c r="S33" s="188"/>
      <c r="T33" s="188"/>
      <c r="U33" s="188"/>
      <c r="V33" s="188"/>
    </row>
    <row r="34" spans="1:23" s="23" customFormat="1">
      <c r="A34" s="163">
        <v>7</v>
      </c>
      <c r="B34" s="164" t="s">
        <v>119</v>
      </c>
      <c r="C34" s="167">
        <v>197.01440000000002</v>
      </c>
      <c r="D34" s="167">
        <v>208.81740000000002</v>
      </c>
      <c r="E34" s="167">
        <v>209.77440000000001</v>
      </c>
      <c r="F34" s="167">
        <v>205.1808</v>
      </c>
      <c r="G34" s="167">
        <v>205.65930000000003</v>
      </c>
      <c r="H34" s="167">
        <v>206.20159999999998</v>
      </c>
      <c r="I34" s="167">
        <v>206.68010000000001</v>
      </c>
      <c r="J34" s="164">
        <v>31.9</v>
      </c>
      <c r="K34" s="166" t="s">
        <v>283</v>
      </c>
      <c r="L34" s="164" t="s">
        <v>141</v>
      </c>
      <c r="M34" s="166"/>
      <c r="N34" s="164" t="s">
        <v>58</v>
      </c>
      <c r="O34" s="74"/>
      <c r="P34" s="188"/>
      <c r="Q34" s="188"/>
      <c r="R34" s="188"/>
      <c r="S34" s="188"/>
      <c r="T34" s="188"/>
      <c r="U34" s="188"/>
      <c r="V34" s="188"/>
    </row>
    <row r="35" spans="1:23" s="23" customFormat="1">
      <c r="A35" s="163">
        <v>6</v>
      </c>
      <c r="B35" s="164" t="s">
        <v>427</v>
      </c>
      <c r="C35" s="167">
        <v>70.046000000000006</v>
      </c>
      <c r="D35" s="167">
        <v>71.018000000000001</v>
      </c>
      <c r="E35" s="167">
        <v>70.805999999999997</v>
      </c>
      <c r="F35" s="167">
        <v>70.805999999999997</v>
      </c>
      <c r="G35" s="167">
        <v>70.811999999999998</v>
      </c>
      <c r="H35" s="167">
        <v>70.811999999999998</v>
      </c>
      <c r="I35" s="167">
        <v>70.811999999999998</v>
      </c>
      <c r="J35" s="164">
        <v>100</v>
      </c>
      <c r="K35" s="166" t="s">
        <v>546</v>
      </c>
      <c r="L35" s="164"/>
      <c r="M35" s="166"/>
      <c r="N35" s="164" t="s">
        <v>58</v>
      </c>
      <c r="O35" s="74"/>
      <c r="P35" s="188"/>
      <c r="Q35" s="188"/>
      <c r="R35" s="188"/>
      <c r="S35" s="188"/>
      <c r="T35" s="188"/>
      <c r="U35" s="188"/>
      <c r="V35" s="188"/>
    </row>
    <row r="36" spans="1:23" s="23" customFormat="1">
      <c r="A36" s="163">
        <v>6</v>
      </c>
      <c r="B36" s="246" t="s">
        <v>538</v>
      </c>
      <c r="C36" s="167">
        <v>28.696000000000002</v>
      </c>
      <c r="D36" s="167">
        <v>29.477</v>
      </c>
      <c r="E36" s="167">
        <v>28.134</v>
      </c>
      <c r="F36" s="167">
        <v>31.134</v>
      </c>
      <c r="G36" s="167">
        <v>28.134</v>
      </c>
      <c r="H36" s="167">
        <v>28.134</v>
      </c>
      <c r="I36" s="167">
        <v>28.134</v>
      </c>
      <c r="J36" s="164">
        <v>100</v>
      </c>
      <c r="K36" s="166" t="s">
        <v>546</v>
      </c>
      <c r="L36" s="164"/>
      <c r="M36" s="166"/>
      <c r="N36" s="164" t="s">
        <v>59</v>
      </c>
      <c r="O36" s="74"/>
      <c r="P36" s="188"/>
      <c r="Q36" s="188"/>
      <c r="R36" s="188"/>
      <c r="S36" s="188"/>
      <c r="T36" s="188"/>
      <c r="U36" s="188"/>
      <c r="V36" s="188"/>
    </row>
    <row r="37" spans="1:23" s="23" customFormat="1">
      <c r="A37" s="163">
        <v>7</v>
      </c>
      <c r="B37" s="164" t="s">
        <v>120</v>
      </c>
      <c r="C37" s="165">
        <v>2.4418500000000001</v>
      </c>
      <c r="D37" s="165">
        <v>2.0503499999999999</v>
      </c>
      <c r="E37" s="165">
        <v>2.0957999999999997</v>
      </c>
      <c r="F37" s="165">
        <v>2.0957999999999997</v>
      </c>
      <c r="G37" s="165">
        <v>2.0957999999999997</v>
      </c>
      <c r="H37" s="165">
        <v>2.0957999999999997</v>
      </c>
      <c r="I37" s="165">
        <v>2.0957999999999997</v>
      </c>
      <c r="J37" s="164">
        <v>15</v>
      </c>
      <c r="K37" s="166">
        <v>11</v>
      </c>
      <c r="L37" s="143" t="s">
        <v>88</v>
      </c>
      <c r="M37" s="164" t="s">
        <v>9</v>
      </c>
      <c r="N37" s="164" t="s">
        <v>58</v>
      </c>
      <c r="O37" s="74"/>
      <c r="P37" s="188"/>
      <c r="Q37" s="188"/>
      <c r="R37" s="188"/>
      <c r="S37" s="188"/>
      <c r="T37" s="188"/>
      <c r="U37" s="188"/>
      <c r="V37" s="188"/>
    </row>
    <row r="38" spans="1:23" s="23" customFormat="1">
      <c r="A38" s="163">
        <v>7</v>
      </c>
      <c r="B38" s="164" t="s">
        <v>121</v>
      </c>
      <c r="C38" s="165">
        <v>0.67500000000000004</v>
      </c>
      <c r="D38" s="165">
        <v>0.67049999999999998</v>
      </c>
      <c r="E38" s="165">
        <v>0.6855</v>
      </c>
      <c r="F38" s="165">
        <v>0.67049999999999998</v>
      </c>
      <c r="G38" s="165">
        <v>0.67049999999999998</v>
      </c>
      <c r="H38" s="165">
        <v>0.67049999999999998</v>
      </c>
      <c r="I38" s="165">
        <v>0.67049999999999998</v>
      </c>
      <c r="J38" s="164">
        <v>75</v>
      </c>
      <c r="K38" s="166" t="s">
        <v>122</v>
      </c>
      <c r="L38" s="143" t="s">
        <v>123</v>
      </c>
      <c r="M38" s="164" t="s">
        <v>9</v>
      </c>
      <c r="N38" s="164" t="s">
        <v>58</v>
      </c>
      <c r="O38" s="74"/>
      <c r="P38" s="188"/>
      <c r="Q38" s="188"/>
      <c r="R38" s="188"/>
      <c r="S38" s="188"/>
      <c r="T38" s="188"/>
      <c r="U38" s="188"/>
      <c r="V38" s="188"/>
    </row>
    <row r="39" spans="1:23" s="23" customFormat="1">
      <c r="A39" s="163">
        <v>16</v>
      </c>
      <c r="B39" s="164" t="s">
        <v>124</v>
      </c>
      <c r="C39" s="167">
        <v>42.662400000000005</v>
      </c>
      <c r="D39" s="167">
        <v>42.91872</v>
      </c>
      <c r="E39" s="167">
        <v>41.658239999999999</v>
      </c>
      <c r="F39" s="167">
        <v>41.309759999999997</v>
      </c>
      <c r="G39" s="167">
        <v>41.31024</v>
      </c>
      <c r="H39" s="167">
        <v>41.310719999999996</v>
      </c>
      <c r="I39" s="167">
        <v>41.31168000000001</v>
      </c>
      <c r="J39" s="164">
        <v>48</v>
      </c>
      <c r="K39" s="73" t="s">
        <v>20</v>
      </c>
      <c r="L39" s="143"/>
      <c r="M39" s="164" t="s">
        <v>124</v>
      </c>
      <c r="N39" s="164" t="s">
        <v>58</v>
      </c>
      <c r="O39" s="74"/>
      <c r="P39" s="68">
        <v>19</v>
      </c>
      <c r="Q39" s="68">
        <v>14</v>
      </c>
      <c r="R39" s="68">
        <v>14</v>
      </c>
      <c r="S39" s="68">
        <v>14</v>
      </c>
      <c r="T39" s="68">
        <v>14</v>
      </c>
      <c r="U39" s="68">
        <v>14</v>
      </c>
      <c r="V39" s="68">
        <v>14</v>
      </c>
    </row>
    <row r="40" spans="1:23" s="23" customFormat="1">
      <c r="A40" s="163">
        <v>16</v>
      </c>
      <c r="B40" s="164" t="s">
        <v>26</v>
      </c>
      <c r="C40" s="167">
        <v>446.5057649236756</v>
      </c>
      <c r="D40" s="167">
        <v>437.64785462320737</v>
      </c>
      <c r="E40" s="167">
        <v>419.36097324971831</v>
      </c>
      <c r="F40" s="167">
        <v>444.14759810886284</v>
      </c>
      <c r="G40" s="167">
        <v>400.16760220329371</v>
      </c>
      <c r="H40" s="167">
        <v>399.06613870671976</v>
      </c>
      <c r="I40" s="167">
        <v>399.11234103459617</v>
      </c>
      <c r="J40" s="257">
        <v>92.404655752850402</v>
      </c>
      <c r="K40" s="73" t="s">
        <v>20</v>
      </c>
      <c r="L40" s="143"/>
      <c r="M40" s="164" t="s">
        <v>26</v>
      </c>
      <c r="N40" s="164" t="s">
        <v>314</v>
      </c>
      <c r="O40" s="74"/>
      <c r="P40" s="68">
        <v>275</v>
      </c>
      <c r="Q40" s="68">
        <v>275</v>
      </c>
      <c r="R40" s="68">
        <v>275</v>
      </c>
      <c r="S40" s="68">
        <v>275</v>
      </c>
      <c r="T40" s="68">
        <v>275</v>
      </c>
      <c r="U40" s="68">
        <v>275</v>
      </c>
      <c r="V40" s="68">
        <v>275</v>
      </c>
      <c r="W40" s="7"/>
    </row>
    <row r="41" spans="1:23" s="184" customFormat="1">
      <c r="A41" s="231">
        <v>16</v>
      </c>
      <c r="B41" s="232" t="s">
        <v>541</v>
      </c>
      <c r="C41" s="230">
        <v>8.9677000000000007</v>
      </c>
      <c r="D41" s="230">
        <v>8.8248999999999995</v>
      </c>
      <c r="E41" s="230">
        <v>4.5548000000000002</v>
      </c>
      <c r="F41" s="230">
        <v>4.5117000000000003</v>
      </c>
      <c r="G41" s="230">
        <v>4.5117000000000003</v>
      </c>
      <c r="H41" s="230">
        <v>4.5117000000000003</v>
      </c>
      <c r="I41" s="230">
        <v>4.5118999999999998</v>
      </c>
      <c r="J41" s="164">
        <v>10</v>
      </c>
      <c r="K41" s="166">
        <v>10</v>
      </c>
      <c r="L41" s="143" t="s">
        <v>98</v>
      </c>
      <c r="M41" s="164" t="s">
        <v>11</v>
      </c>
      <c r="N41" s="164" t="s">
        <v>58</v>
      </c>
      <c r="O41" s="182"/>
      <c r="P41" s="178"/>
      <c r="Q41" s="183"/>
      <c r="R41" s="183"/>
      <c r="S41" s="183"/>
      <c r="T41" s="183"/>
      <c r="U41" s="183"/>
      <c r="V41" s="183"/>
    </row>
    <row r="42" spans="1:23" s="238" customFormat="1">
      <c r="A42" s="231">
        <v>16</v>
      </c>
      <c r="B42" s="232" t="s">
        <v>548</v>
      </c>
      <c r="C42" s="233">
        <v>162.31800000000001</v>
      </c>
      <c r="D42" s="233">
        <v>161.40899999999999</v>
      </c>
      <c r="E42" s="233">
        <v>161.24600000000001</v>
      </c>
      <c r="F42" s="233">
        <v>160.88499999999999</v>
      </c>
      <c r="G42" s="233">
        <v>160.88499999999999</v>
      </c>
      <c r="H42" s="233">
        <v>160.88499999999999</v>
      </c>
      <c r="I42" s="233">
        <v>160.88499999999999</v>
      </c>
      <c r="J42" s="232">
        <v>100</v>
      </c>
      <c r="K42" s="234" t="s">
        <v>20</v>
      </c>
      <c r="L42" s="235"/>
      <c r="M42" s="164" t="s">
        <v>26</v>
      </c>
      <c r="N42" s="232" t="s">
        <v>59</v>
      </c>
      <c r="O42" s="236"/>
      <c r="P42" s="178"/>
      <c r="Q42" s="237"/>
      <c r="R42" s="237"/>
      <c r="S42" s="237"/>
      <c r="T42" s="237"/>
      <c r="U42" s="237"/>
      <c r="V42" s="237"/>
    </row>
    <row r="43" spans="1:23" s="238" customFormat="1">
      <c r="A43" s="231">
        <v>16</v>
      </c>
      <c r="B43" s="232" t="s">
        <v>315</v>
      </c>
      <c r="C43" s="233">
        <v>8</v>
      </c>
      <c r="D43" s="233">
        <v>8</v>
      </c>
      <c r="E43" s="233">
        <v>8</v>
      </c>
      <c r="F43" s="233">
        <v>8</v>
      </c>
      <c r="G43" s="233">
        <v>8</v>
      </c>
      <c r="H43" s="233">
        <v>8</v>
      </c>
      <c r="I43" s="233">
        <v>8</v>
      </c>
      <c r="J43" s="232">
        <v>100</v>
      </c>
      <c r="K43" s="239" t="s">
        <v>138</v>
      </c>
      <c r="L43" s="235" t="s">
        <v>139</v>
      </c>
      <c r="M43" s="164" t="s">
        <v>144</v>
      </c>
      <c r="N43" s="232" t="s">
        <v>59</v>
      </c>
      <c r="O43" s="234"/>
      <c r="P43" s="150"/>
      <c r="Q43" s="150"/>
      <c r="R43" s="150"/>
      <c r="S43" s="150"/>
      <c r="T43" s="150"/>
      <c r="U43" s="150"/>
      <c r="V43" s="150"/>
    </row>
    <row r="44" spans="1:23" s="238" customFormat="1">
      <c r="A44" s="231">
        <v>16</v>
      </c>
      <c r="B44" s="232" t="s">
        <v>316</v>
      </c>
      <c r="C44" s="233">
        <v>54.243000000000002</v>
      </c>
      <c r="D44" s="233">
        <v>55.295000000000002</v>
      </c>
      <c r="E44" s="233">
        <v>55.381999999999998</v>
      </c>
      <c r="F44" s="233">
        <v>55.38</v>
      </c>
      <c r="G44" s="233">
        <v>55.38</v>
      </c>
      <c r="H44" s="233">
        <v>55.38</v>
      </c>
      <c r="I44" s="233">
        <v>55.38</v>
      </c>
      <c r="J44" s="232">
        <v>100</v>
      </c>
      <c r="K44" s="239">
        <v>13</v>
      </c>
      <c r="L44" s="235" t="s">
        <v>145</v>
      </c>
      <c r="M44" s="164" t="s">
        <v>26</v>
      </c>
      <c r="N44" s="232" t="s">
        <v>59</v>
      </c>
      <c r="O44" s="236"/>
      <c r="P44" s="240"/>
      <c r="Q44" s="237"/>
      <c r="R44" s="237"/>
      <c r="S44" s="237"/>
      <c r="T44" s="237"/>
      <c r="U44" s="237"/>
      <c r="V44" s="237"/>
    </row>
    <row r="45" spans="1:23" s="238" customFormat="1">
      <c r="A45" s="231">
        <v>16</v>
      </c>
      <c r="B45" s="232" t="s">
        <v>317</v>
      </c>
      <c r="C45" s="233">
        <v>21.603000000000002</v>
      </c>
      <c r="D45" s="233">
        <v>21.725000000000001</v>
      </c>
      <c r="E45" s="233">
        <v>18.768999999999998</v>
      </c>
      <c r="F45" s="233">
        <v>17.193999999999999</v>
      </c>
      <c r="G45" s="233">
        <v>16.344000000000001</v>
      </c>
      <c r="H45" s="233">
        <v>15.912000000000001</v>
      </c>
      <c r="I45" s="233">
        <v>15.912000000000001</v>
      </c>
      <c r="J45" s="232">
        <v>100</v>
      </c>
      <c r="K45" s="239">
        <v>9</v>
      </c>
      <c r="L45" s="235" t="s">
        <v>143</v>
      </c>
      <c r="M45" s="164" t="s">
        <v>26</v>
      </c>
      <c r="N45" s="232" t="s">
        <v>59</v>
      </c>
      <c r="O45" s="240"/>
      <c r="P45" s="237"/>
      <c r="Q45" s="237"/>
      <c r="R45" s="237"/>
      <c r="S45" s="237"/>
      <c r="T45" s="237"/>
      <c r="U45" s="237"/>
      <c r="V45" s="237"/>
    </row>
    <row r="46" spans="1:23" s="23" customFormat="1">
      <c r="A46" s="163">
        <v>16</v>
      </c>
      <c r="B46" s="164" t="s">
        <v>542</v>
      </c>
      <c r="C46" s="167">
        <v>6.2619999999999996</v>
      </c>
      <c r="D46" s="167">
        <v>6.266</v>
      </c>
      <c r="E46" s="167">
        <v>6.2649999999999997</v>
      </c>
      <c r="F46" s="167">
        <v>6.2649999999999997</v>
      </c>
      <c r="G46" s="167">
        <v>6.2649999999999997</v>
      </c>
      <c r="H46" s="167">
        <v>6.2649999999999997</v>
      </c>
      <c r="I46" s="167">
        <v>6.266</v>
      </c>
      <c r="J46" s="164">
        <v>100</v>
      </c>
      <c r="K46" s="166" t="s">
        <v>126</v>
      </c>
      <c r="L46" s="143" t="s">
        <v>127</v>
      </c>
      <c r="M46" s="164" t="s">
        <v>128</v>
      </c>
      <c r="N46" s="164" t="s">
        <v>58</v>
      </c>
      <c r="O46" s="74"/>
      <c r="P46" s="188"/>
      <c r="Q46" s="188"/>
      <c r="R46" s="188"/>
      <c r="S46" s="188"/>
      <c r="T46" s="188"/>
      <c r="U46" s="188"/>
      <c r="V46" s="188"/>
    </row>
    <row r="47" spans="1:23" s="23" customFormat="1">
      <c r="A47" s="163">
        <v>16</v>
      </c>
      <c r="B47" s="164" t="s">
        <v>135</v>
      </c>
      <c r="C47" s="167">
        <v>8.359</v>
      </c>
      <c r="D47" s="167">
        <v>8.359</v>
      </c>
      <c r="E47" s="167">
        <v>8.3580000000000005</v>
      </c>
      <c r="F47" s="167">
        <v>8.3580000000000005</v>
      </c>
      <c r="G47" s="167">
        <v>8.3580000000000005</v>
      </c>
      <c r="H47" s="167">
        <v>8.3580000000000005</v>
      </c>
      <c r="I47" s="167">
        <v>8.359</v>
      </c>
      <c r="J47" s="164">
        <v>100</v>
      </c>
      <c r="K47" s="166">
        <v>7</v>
      </c>
      <c r="L47" s="143" t="s">
        <v>136</v>
      </c>
      <c r="M47" s="164" t="s">
        <v>9</v>
      </c>
      <c r="N47" s="164" t="s">
        <v>58</v>
      </c>
      <c r="O47" s="74"/>
      <c r="P47" s="188"/>
      <c r="Q47" s="188"/>
      <c r="R47" s="188"/>
      <c r="S47" s="188"/>
      <c r="T47" s="188"/>
      <c r="U47" s="188"/>
      <c r="V47" s="188"/>
    </row>
    <row r="48" spans="1:23" s="23" customFormat="1">
      <c r="A48" s="163">
        <v>16</v>
      </c>
      <c r="B48" s="164" t="s">
        <v>137</v>
      </c>
      <c r="C48" s="167">
        <v>0.219</v>
      </c>
      <c r="D48" s="167">
        <v>0.221</v>
      </c>
      <c r="E48" s="167">
        <v>0.221</v>
      </c>
      <c r="F48" s="167">
        <v>0.221</v>
      </c>
      <c r="G48" s="167">
        <v>0.221</v>
      </c>
      <c r="H48" s="167">
        <v>0.221</v>
      </c>
      <c r="I48" s="167">
        <v>0.221</v>
      </c>
      <c r="J48" s="164">
        <v>100</v>
      </c>
      <c r="K48" s="166" t="s">
        <v>138</v>
      </c>
      <c r="L48" s="143" t="s">
        <v>139</v>
      </c>
      <c r="M48" s="164" t="s">
        <v>9</v>
      </c>
      <c r="N48" s="164" t="s">
        <v>58</v>
      </c>
      <c r="O48" s="74"/>
      <c r="P48" s="188"/>
      <c r="Q48" s="188"/>
      <c r="R48" s="188"/>
      <c r="S48" s="188"/>
      <c r="T48" s="188"/>
      <c r="U48" s="188"/>
      <c r="V48" s="188"/>
    </row>
    <row r="49" spans="1:22" s="23" customFormat="1">
      <c r="A49" s="163">
        <v>16</v>
      </c>
      <c r="B49" s="164" t="s">
        <v>545</v>
      </c>
      <c r="C49" s="167">
        <v>2.5</v>
      </c>
      <c r="D49" s="167">
        <v>2.5</v>
      </c>
      <c r="E49" s="167">
        <v>2.5</v>
      </c>
      <c r="F49" s="167">
        <v>2.5</v>
      </c>
      <c r="G49" s="167">
        <v>2.5</v>
      </c>
      <c r="H49" s="167">
        <v>2.5</v>
      </c>
      <c r="I49" s="167">
        <v>2.5</v>
      </c>
      <c r="J49" s="164">
        <v>100</v>
      </c>
      <c r="K49" s="166">
        <v>1</v>
      </c>
      <c r="L49" s="143" t="s">
        <v>146</v>
      </c>
      <c r="M49" s="164" t="s">
        <v>26</v>
      </c>
      <c r="N49" s="164" t="s">
        <v>59</v>
      </c>
      <c r="O49" s="74"/>
      <c r="P49" s="188"/>
      <c r="Q49" s="188"/>
      <c r="R49" s="188"/>
      <c r="S49" s="188"/>
      <c r="T49" s="188"/>
      <c r="U49" s="188"/>
      <c r="V49" s="188"/>
    </row>
    <row r="50" spans="1:22" s="238" customFormat="1">
      <c r="A50" s="231">
        <v>16</v>
      </c>
      <c r="B50" s="232" t="s">
        <v>140</v>
      </c>
      <c r="C50" s="230">
        <v>2.9420000000000002</v>
      </c>
      <c r="D50" s="230">
        <v>3.1469999999999998</v>
      </c>
      <c r="E50" s="230">
        <v>3.1469999999999998</v>
      </c>
      <c r="F50" s="230">
        <v>3.1469999999999998</v>
      </c>
      <c r="G50" s="230">
        <v>3.1469999999999998</v>
      </c>
      <c r="H50" s="230">
        <v>3.1469999999999998</v>
      </c>
      <c r="I50" s="230">
        <v>1.5</v>
      </c>
      <c r="J50" s="232">
        <v>100</v>
      </c>
      <c r="K50" s="239" t="s">
        <v>126</v>
      </c>
      <c r="L50" s="235" t="s">
        <v>127</v>
      </c>
      <c r="M50" s="164" t="s">
        <v>26</v>
      </c>
      <c r="N50" s="232" t="s">
        <v>59</v>
      </c>
      <c r="O50" s="236"/>
      <c r="P50" s="237"/>
      <c r="Q50" s="237"/>
      <c r="R50" s="237"/>
      <c r="S50" s="237"/>
      <c r="T50" s="237"/>
      <c r="U50" s="237"/>
      <c r="V50" s="237"/>
    </row>
    <row r="51" spans="1:22" s="23" customFormat="1">
      <c r="A51" s="163">
        <v>16</v>
      </c>
      <c r="B51" s="164" t="s">
        <v>147</v>
      </c>
      <c r="C51" s="167">
        <v>2.8849999999999998</v>
      </c>
      <c r="D51" s="167">
        <v>5.024</v>
      </c>
      <c r="E51" s="167">
        <v>5.609</v>
      </c>
      <c r="F51" s="167">
        <v>6.0359999999999996</v>
      </c>
      <c r="G51" s="167">
        <v>6.2670000000000003</v>
      </c>
      <c r="H51" s="167">
        <v>6.2750000000000004</v>
      </c>
      <c r="I51" s="167">
        <v>6.2750000000000004</v>
      </c>
      <c r="J51" s="164">
        <v>50</v>
      </c>
      <c r="K51" s="166">
        <v>13</v>
      </c>
      <c r="L51" s="143" t="s">
        <v>145</v>
      </c>
      <c r="M51" s="164" t="s">
        <v>59</v>
      </c>
      <c r="N51" s="164" t="s">
        <v>59</v>
      </c>
      <c r="O51" s="74"/>
      <c r="P51" s="188"/>
      <c r="Q51" s="188"/>
      <c r="R51" s="188"/>
      <c r="S51" s="188"/>
      <c r="T51" s="188"/>
      <c r="U51" s="188"/>
      <c r="V51" s="188"/>
    </row>
    <row r="52" spans="1:22" s="23" customFormat="1">
      <c r="A52" s="163">
        <v>16</v>
      </c>
      <c r="B52" s="164" t="s">
        <v>148</v>
      </c>
      <c r="C52" s="167">
        <v>3.6360000000000001</v>
      </c>
      <c r="D52" s="167">
        <v>2.75</v>
      </c>
      <c r="E52" s="167">
        <v>1.25</v>
      </c>
      <c r="F52" s="167">
        <v>0</v>
      </c>
      <c r="G52" s="167">
        <v>0</v>
      </c>
      <c r="H52" s="167">
        <v>0</v>
      </c>
      <c r="I52" s="167">
        <v>0</v>
      </c>
      <c r="J52" s="164">
        <v>100</v>
      </c>
      <c r="K52" s="166">
        <v>13</v>
      </c>
      <c r="L52" s="143" t="s">
        <v>145</v>
      </c>
      <c r="M52" s="164" t="s">
        <v>59</v>
      </c>
      <c r="N52" s="164" t="s">
        <v>59</v>
      </c>
      <c r="O52" s="73"/>
      <c r="P52" s="68"/>
      <c r="Q52" s="68"/>
      <c r="R52" s="68"/>
      <c r="S52" s="68"/>
      <c r="T52" s="68"/>
      <c r="U52" s="68"/>
      <c r="V52" s="68"/>
    </row>
    <row r="53" spans="1:22" s="23" customFormat="1">
      <c r="A53" s="163">
        <v>16</v>
      </c>
      <c r="B53" s="164" t="s">
        <v>129</v>
      </c>
      <c r="C53" s="167">
        <v>0.81200000000000006</v>
      </c>
      <c r="D53" s="167">
        <v>0.81200000000000006</v>
      </c>
      <c r="E53" s="167">
        <v>0.81200000000000006</v>
      </c>
      <c r="F53" s="167">
        <v>0.81200000000000006</v>
      </c>
      <c r="G53" s="167">
        <v>0.81200000000000006</v>
      </c>
      <c r="H53" s="167">
        <v>0.81200000000000006</v>
      </c>
      <c r="I53" s="167">
        <v>0.81200000000000006</v>
      </c>
      <c r="J53" s="164">
        <v>100</v>
      </c>
      <c r="K53" s="166" t="s">
        <v>126</v>
      </c>
      <c r="L53" s="143" t="s">
        <v>127</v>
      </c>
      <c r="M53" s="164" t="s">
        <v>13</v>
      </c>
      <c r="N53" s="164" t="s">
        <v>58</v>
      </c>
      <c r="O53" s="73"/>
      <c r="P53" s="68"/>
      <c r="Q53" s="68"/>
      <c r="R53" s="68"/>
      <c r="S53" s="68"/>
      <c r="T53" s="68"/>
      <c r="U53" s="68"/>
      <c r="V53" s="68"/>
    </row>
    <row r="54" spans="1:22" s="23" customFormat="1">
      <c r="A54" s="163">
        <v>16</v>
      </c>
      <c r="B54" s="164" t="s">
        <v>130</v>
      </c>
      <c r="C54" s="167">
        <v>4.8460000000000001</v>
      </c>
      <c r="D54" s="167">
        <v>4.851</v>
      </c>
      <c r="E54" s="167">
        <v>4.851</v>
      </c>
      <c r="F54" s="167">
        <v>4.851</v>
      </c>
      <c r="G54" s="167">
        <v>4.851</v>
      </c>
      <c r="H54" s="167">
        <v>4.851</v>
      </c>
      <c r="I54" s="167">
        <v>4.851</v>
      </c>
      <c r="J54" s="164">
        <v>100</v>
      </c>
      <c r="K54" s="166" t="s">
        <v>126</v>
      </c>
      <c r="L54" s="143" t="s">
        <v>127</v>
      </c>
      <c r="M54" s="164" t="s">
        <v>13</v>
      </c>
      <c r="N54" s="164" t="s">
        <v>58</v>
      </c>
      <c r="O54" s="74"/>
      <c r="P54" s="188"/>
      <c r="Q54" s="188"/>
      <c r="R54" s="188"/>
      <c r="S54" s="188"/>
      <c r="T54" s="188"/>
      <c r="U54" s="188"/>
      <c r="V54" s="188"/>
    </row>
    <row r="55" spans="1:22" s="23" customFormat="1">
      <c r="A55" s="163">
        <v>16</v>
      </c>
      <c r="B55" s="164" t="s">
        <v>131</v>
      </c>
      <c r="C55" s="167">
        <v>30.95</v>
      </c>
      <c r="D55" s="167">
        <v>30.95</v>
      </c>
      <c r="E55" s="167">
        <v>31.065000000000001</v>
      </c>
      <c r="F55" s="167">
        <v>31.065000000000001</v>
      </c>
      <c r="G55" s="167">
        <v>31.065000000000001</v>
      </c>
      <c r="H55" s="167">
        <v>31.065000000000001</v>
      </c>
      <c r="I55" s="167">
        <v>31.065000000000001</v>
      </c>
      <c r="J55" s="164">
        <v>100</v>
      </c>
      <c r="K55" s="166">
        <v>3</v>
      </c>
      <c r="L55" s="143" t="s">
        <v>132</v>
      </c>
      <c r="M55" s="164" t="s">
        <v>13</v>
      </c>
      <c r="N55" s="164" t="s">
        <v>59</v>
      </c>
      <c r="O55" s="74"/>
      <c r="P55" s="188"/>
      <c r="Q55" s="188"/>
      <c r="R55" s="188"/>
      <c r="S55" s="188"/>
      <c r="T55" s="188"/>
      <c r="U55" s="188"/>
      <c r="V55" s="188"/>
    </row>
    <row r="56" spans="1:22" s="23" customFormat="1">
      <c r="A56" s="163">
        <v>16</v>
      </c>
      <c r="B56" s="164" t="s">
        <v>133</v>
      </c>
      <c r="C56" s="167">
        <v>47.832000000000001</v>
      </c>
      <c r="D56" s="167">
        <v>45</v>
      </c>
      <c r="E56" s="167">
        <v>40</v>
      </c>
      <c r="F56" s="167">
        <v>40</v>
      </c>
      <c r="G56" s="167">
        <v>40</v>
      </c>
      <c r="H56" s="167">
        <v>40</v>
      </c>
      <c r="I56" s="167">
        <v>40</v>
      </c>
      <c r="J56" s="164">
        <v>100</v>
      </c>
      <c r="K56" s="166" t="s">
        <v>126</v>
      </c>
      <c r="L56" s="143" t="s">
        <v>127</v>
      </c>
      <c r="M56" s="164" t="s">
        <v>13</v>
      </c>
      <c r="N56" s="164" t="s">
        <v>58</v>
      </c>
      <c r="O56" s="74"/>
      <c r="P56" s="188"/>
      <c r="Q56" s="188"/>
      <c r="R56" s="188"/>
      <c r="S56" s="188"/>
      <c r="T56" s="188"/>
      <c r="U56" s="188"/>
      <c r="V56" s="188"/>
    </row>
    <row r="57" spans="1:22" s="23" customFormat="1">
      <c r="A57" s="163">
        <v>16</v>
      </c>
      <c r="B57" s="164" t="s">
        <v>134</v>
      </c>
      <c r="C57" s="167">
        <v>7.032</v>
      </c>
      <c r="D57" s="167">
        <v>9.1050000000000004</v>
      </c>
      <c r="E57" s="167">
        <v>9.1050000000000004</v>
      </c>
      <c r="F57" s="167">
        <v>9.1050000000000004</v>
      </c>
      <c r="G57" s="167">
        <v>9.1050000000000004</v>
      </c>
      <c r="H57" s="167">
        <v>9.1050000000000004</v>
      </c>
      <c r="I57" s="167">
        <v>9.1050000000000004</v>
      </c>
      <c r="J57" s="164">
        <v>100</v>
      </c>
      <c r="K57" s="166" t="s">
        <v>126</v>
      </c>
      <c r="L57" s="143" t="s">
        <v>127</v>
      </c>
      <c r="M57" s="164" t="s">
        <v>13</v>
      </c>
      <c r="N57" s="164" t="s">
        <v>58</v>
      </c>
      <c r="O57" s="74"/>
      <c r="P57" s="188"/>
      <c r="Q57" s="188"/>
      <c r="R57" s="188"/>
      <c r="S57" s="188"/>
      <c r="T57" s="188"/>
      <c r="U57" s="188"/>
      <c r="V57" s="188"/>
    </row>
    <row r="58" spans="1:22" s="7" customFormat="1">
      <c r="A58" s="163" t="s">
        <v>561</v>
      </c>
      <c r="B58" s="164" t="s">
        <v>551</v>
      </c>
      <c r="C58" s="167">
        <v>11.9</v>
      </c>
      <c r="D58" s="167">
        <v>11.9</v>
      </c>
      <c r="E58" s="167">
        <v>11.9</v>
      </c>
      <c r="F58" s="167">
        <v>11.9</v>
      </c>
      <c r="G58" s="167">
        <v>11.9</v>
      </c>
      <c r="H58" s="167">
        <v>11.9</v>
      </c>
      <c r="I58" s="167">
        <v>11.9</v>
      </c>
      <c r="J58" s="164">
        <v>100</v>
      </c>
      <c r="K58" s="166">
        <v>9</v>
      </c>
      <c r="L58" s="143" t="s">
        <v>143</v>
      </c>
      <c r="M58" s="164" t="s">
        <v>59</v>
      </c>
      <c r="N58" s="164" t="s">
        <v>59</v>
      </c>
      <c r="O58" s="73"/>
      <c r="P58" s="68"/>
      <c r="Q58" s="68"/>
      <c r="R58" s="68"/>
      <c r="S58" s="68"/>
      <c r="T58" s="68"/>
      <c r="U58" s="68"/>
      <c r="V58" s="68"/>
    </row>
    <row r="59" spans="1:22" s="23" customFormat="1">
      <c r="A59" s="163" t="s">
        <v>149</v>
      </c>
      <c r="B59" s="164" t="s">
        <v>318</v>
      </c>
      <c r="C59" s="167">
        <v>10.260000000000002</v>
      </c>
      <c r="D59" s="167">
        <v>9.3690000000000015</v>
      </c>
      <c r="E59" s="167">
        <v>9.072000000000001</v>
      </c>
      <c r="F59" s="167">
        <v>8.7750000000000004</v>
      </c>
      <c r="G59" s="167">
        <v>8.8290000000000006</v>
      </c>
      <c r="H59" s="167">
        <v>8.8290000000000006</v>
      </c>
      <c r="I59" s="167"/>
      <c r="J59" s="164">
        <v>27</v>
      </c>
      <c r="K59" s="166">
        <v>10</v>
      </c>
      <c r="L59" s="143" t="s">
        <v>98</v>
      </c>
      <c r="M59" s="164" t="s">
        <v>11</v>
      </c>
      <c r="N59" s="164" t="s">
        <v>58</v>
      </c>
      <c r="O59" s="74"/>
      <c r="P59" s="188"/>
      <c r="Q59" s="188"/>
      <c r="R59" s="188"/>
      <c r="S59" s="188"/>
      <c r="T59" s="188"/>
      <c r="U59" s="188"/>
      <c r="V59" s="188"/>
    </row>
    <row r="60" spans="1:22" s="23" customFormat="1">
      <c r="A60" s="163" t="s">
        <v>149</v>
      </c>
      <c r="B60" s="164" t="s">
        <v>150</v>
      </c>
      <c r="C60" s="167">
        <v>0.31944</v>
      </c>
      <c r="D60" s="167">
        <v>0.38345999999999997</v>
      </c>
      <c r="E60" s="167">
        <v>0.30324000000000001</v>
      </c>
      <c r="F60" s="167">
        <v>0.30324000000000001</v>
      </c>
      <c r="G60" s="167">
        <v>0.30324000000000001</v>
      </c>
      <c r="H60" s="167">
        <v>0.30324000000000001</v>
      </c>
      <c r="I60" s="187"/>
      <c r="J60" s="164">
        <v>6</v>
      </c>
      <c r="K60" s="166">
        <v>10</v>
      </c>
      <c r="L60" s="143" t="s">
        <v>98</v>
      </c>
      <c r="M60" s="164" t="s">
        <v>11</v>
      </c>
      <c r="N60" s="164" t="s">
        <v>58</v>
      </c>
      <c r="O60" s="74"/>
      <c r="P60" s="188"/>
      <c r="Q60" s="188"/>
      <c r="R60" s="188"/>
      <c r="S60" s="188"/>
      <c r="T60" s="188"/>
      <c r="U60" s="188"/>
      <c r="V60" s="188"/>
    </row>
    <row r="61" spans="1:22" s="23" customFormat="1">
      <c r="A61" s="163" t="s">
        <v>149</v>
      </c>
      <c r="B61" s="164" t="s">
        <v>151</v>
      </c>
      <c r="C61" s="167">
        <v>1.9119999999999999</v>
      </c>
      <c r="D61" s="167">
        <v>2.5720000000000001</v>
      </c>
      <c r="E61" s="167">
        <v>2.129</v>
      </c>
      <c r="F61" s="167">
        <v>2.129</v>
      </c>
      <c r="G61" s="167">
        <v>2.129</v>
      </c>
      <c r="H61" s="167">
        <v>2.129</v>
      </c>
      <c r="I61" s="167">
        <v>2.129</v>
      </c>
      <c r="J61" s="164">
        <v>100</v>
      </c>
      <c r="K61" s="166">
        <v>10</v>
      </c>
      <c r="L61" s="143" t="s">
        <v>98</v>
      </c>
      <c r="M61" s="164" t="s">
        <v>59</v>
      </c>
      <c r="N61" s="164" t="s">
        <v>59</v>
      </c>
      <c r="O61" s="74"/>
      <c r="P61" s="188"/>
      <c r="Q61" s="188"/>
      <c r="R61" s="188"/>
      <c r="S61" s="188"/>
      <c r="T61" s="188"/>
      <c r="U61" s="188"/>
      <c r="V61" s="188"/>
    </row>
    <row r="62" spans="1:22" s="23" customFormat="1">
      <c r="A62" s="163" t="s">
        <v>149</v>
      </c>
      <c r="B62" s="164" t="s">
        <v>152</v>
      </c>
      <c r="C62" s="167">
        <v>0.72699999999999998</v>
      </c>
      <c r="D62" s="167">
        <v>0.73699999999999999</v>
      </c>
      <c r="E62" s="167">
        <v>0.73099999999999998</v>
      </c>
      <c r="F62" s="167">
        <v>0.73099999999999998</v>
      </c>
      <c r="G62" s="167">
        <v>0.73099999999999998</v>
      </c>
      <c r="H62" s="167">
        <v>0.73099999999999998</v>
      </c>
      <c r="I62" s="167"/>
      <c r="J62" s="164">
        <v>100</v>
      </c>
      <c r="K62" s="166">
        <v>10</v>
      </c>
      <c r="L62" s="143" t="s">
        <v>98</v>
      </c>
      <c r="M62" s="164" t="s">
        <v>9</v>
      </c>
      <c r="N62" s="164" t="s">
        <v>58</v>
      </c>
      <c r="O62" s="74"/>
      <c r="P62" s="188"/>
      <c r="Q62" s="188"/>
      <c r="R62" s="188"/>
      <c r="S62" s="188"/>
      <c r="T62" s="188"/>
      <c r="U62" s="188"/>
      <c r="V62" s="188"/>
    </row>
    <row r="63" spans="1:22" s="3" customFormat="1" ht="15">
      <c r="A63" s="87"/>
      <c r="B63" s="3" t="s">
        <v>94</v>
      </c>
      <c r="C63" s="12">
        <f t="shared" ref="C63:I63" si="15">SUM(C33:C62)</f>
        <v>3599.0105549236764</v>
      </c>
      <c r="D63" s="12">
        <f t="shared" si="15"/>
        <v>3668.4681846232079</v>
      </c>
      <c r="E63" s="12">
        <f t="shared" si="15"/>
        <v>3623.9829532497188</v>
      </c>
      <c r="F63" s="12">
        <f t="shared" si="15"/>
        <v>3628.3473981088641</v>
      </c>
      <c r="G63" s="12">
        <f t="shared" si="15"/>
        <v>3588.129382203294</v>
      </c>
      <c r="H63" s="12">
        <f t="shared" si="15"/>
        <v>3606.3926987067207</v>
      </c>
      <c r="I63" s="12">
        <f t="shared" si="15"/>
        <v>3615.9093210345959</v>
      </c>
      <c r="L63" s="1"/>
      <c r="O63" s="72"/>
      <c r="P63" s="6">
        <f t="shared" ref="P63:V63" si="16">SUM(P33:P62)</f>
        <v>294</v>
      </c>
      <c r="Q63" s="6">
        <f t="shared" si="16"/>
        <v>289</v>
      </c>
      <c r="R63" s="6">
        <f t="shared" si="16"/>
        <v>289</v>
      </c>
      <c r="S63" s="6">
        <f t="shared" si="16"/>
        <v>289</v>
      </c>
      <c r="T63" s="6">
        <f t="shared" si="16"/>
        <v>289</v>
      </c>
      <c r="U63" s="6">
        <f t="shared" si="16"/>
        <v>289</v>
      </c>
      <c r="V63" s="6">
        <f t="shared" si="16"/>
        <v>289</v>
      </c>
    </row>
    <row r="64" spans="1:22">
      <c r="C64" s="62"/>
      <c r="D64" s="62"/>
      <c r="E64" s="62"/>
      <c r="F64" s="62"/>
      <c r="G64" s="62"/>
      <c r="H64" s="62"/>
      <c r="I64" s="62"/>
    </row>
    <row r="65" spans="1:23" s="1" customFormat="1" ht="15">
      <c r="A65" s="14"/>
      <c r="B65" s="15" t="s">
        <v>60</v>
      </c>
      <c r="C65" s="61"/>
      <c r="D65" s="61"/>
      <c r="E65" s="61"/>
      <c r="F65" s="61"/>
      <c r="G65" s="61"/>
      <c r="H65" s="61"/>
      <c r="I65" s="61"/>
      <c r="J65" s="14"/>
      <c r="K65" s="14"/>
      <c r="L65" s="14"/>
      <c r="M65" s="14"/>
      <c r="N65" s="14"/>
      <c r="O65" s="14"/>
      <c r="P65" s="67"/>
      <c r="Q65" s="67"/>
      <c r="R65" s="67"/>
      <c r="S65" s="67"/>
      <c r="T65" s="67"/>
      <c r="U65" s="67"/>
      <c r="V65" s="67"/>
    </row>
    <row r="66" spans="1:23" s="18" customFormat="1">
      <c r="A66" s="143" t="s">
        <v>82</v>
      </c>
      <c r="B66" s="115" t="s">
        <v>321</v>
      </c>
      <c r="C66" s="115">
        <v>33.542999999999999</v>
      </c>
      <c r="D66" s="115">
        <v>37.027999999999999</v>
      </c>
      <c r="E66" s="115">
        <v>36.807000000000002</v>
      </c>
      <c r="F66" s="115">
        <v>36.808</v>
      </c>
      <c r="G66" s="115">
        <v>36.808</v>
      </c>
      <c r="H66" s="115">
        <v>36.808</v>
      </c>
      <c r="I66" s="115">
        <v>36.808</v>
      </c>
      <c r="J66" s="115">
        <v>100</v>
      </c>
      <c r="K66" s="115">
        <v>14</v>
      </c>
      <c r="L66" s="115" t="s">
        <v>84</v>
      </c>
      <c r="M66" s="116" t="s">
        <v>543</v>
      </c>
      <c r="N66" s="18" t="s">
        <v>58</v>
      </c>
      <c r="O66" s="75">
        <v>100</v>
      </c>
      <c r="P66" s="5">
        <f t="shared" ref="P66:P70" si="17">+$O66/100*C66</f>
        <v>33.542999999999999</v>
      </c>
      <c r="Q66" s="5">
        <f t="shared" ref="Q66:Q70" si="18">+$O66/100*D66</f>
        <v>37.027999999999999</v>
      </c>
      <c r="R66" s="5">
        <f t="shared" ref="R66:R70" si="19">+$O66/100*E66</f>
        <v>36.807000000000002</v>
      </c>
      <c r="S66" s="5">
        <f t="shared" ref="S66:S70" si="20">+$O66/100*F66</f>
        <v>36.808</v>
      </c>
      <c r="T66" s="5">
        <f t="shared" ref="T66:T70" si="21">+$O66/100*G66</f>
        <v>36.808</v>
      </c>
      <c r="U66" s="5">
        <f t="shared" ref="U66:U70" si="22">+$O66/100*H66</f>
        <v>36.808</v>
      </c>
      <c r="V66" s="5">
        <f t="shared" ref="V66:V70" si="23">+$O66/100*I66</f>
        <v>36.808</v>
      </c>
      <c r="W66" s="5"/>
    </row>
    <row r="67" spans="1:23" s="18" customFormat="1">
      <c r="A67" s="143" t="s">
        <v>82</v>
      </c>
      <c r="B67" s="115" t="s">
        <v>85</v>
      </c>
      <c r="C67" s="115">
        <v>0.51700000000000002</v>
      </c>
      <c r="D67" s="115">
        <v>0.51700000000000002</v>
      </c>
      <c r="E67" s="115">
        <v>0.51700000000000002</v>
      </c>
      <c r="F67" s="115">
        <v>0.51700000000000002</v>
      </c>
      <c r="G67" s="115">
        <v>0.51700000000000002</v>
      </c>
      <c r="H67" s="115">
        <v>0.51700000000000002</v>
      </c>
      <c r="I67" s="115">
        <v>0.51700000000000002</v>
      </c>
      <c r="J67" s="115">
        <v>100</v>
      </c>
      <c r="K67" s="115">
        <v>14</v>
      </c>
      <c r="L67" s="115" t="s">
        <v>84</v>
      </c>
      <c r="M67" s="116" t="s">
        <v>9</v>
      </c>
      <c r="N67" s="18" t="s">
        <v>58</v>
      </c>
      <c r="O67" s="75">
        <v>100</v>
      </c>
      <c r="P67" s="5">
        <f t="shared" si="17"/>
        <v>0.51700000000000002</v>
      </c>
      <c r="Q67" s="5">
        <f t="shared" si="18"/>
        <v>0.51700000000000002</v>
      </c>
      <c r="R67" s="5">
        <f t="shared" si="19"/>
        <v>0.51700000000000002</v>
      </c>
      <c r="S67" s="5">
        <f t="shared" si="20"/>
        <v>0.51700000000000002</v>
      </c>
      <c r="T67" s="5">
        <f t="shared" si="21"/>
        <v>0.51700000000000002</v>
      </c>
      <c r="U67" s="5">
        <f t="shared" si="22"/>
        <v>0.51700000000000002</v>
      </c>
      <c r="V67" s="5">
        <f t="shared" si="23"/>
        <v>0.51700000000000002</v>
      </c>
      <c r="W67" s="5"/>
    </row>
    <row r="68" spans="1:23" s="18" customFormat="1">
      <c r="A68" s="143" t="s">
        <v>82</v>
      </c>
      <c r="B68" s="115" t="s">
        <v>83</v>
      </c>
      <c r="C68" s="115">
        <v>8.2959999999999994</v>
      </c>
      <c r="D68" s="115">
        <v>5.0949999999999998</v>
      </c>
      <c r="E68" s="115">
        <v>5.0949999999999998</v>
      </c>
      <c r="F68" s="115">
        <v>5.0949999999999998</v>
      </c>
      <c r="G68" s="115">
        <v>5.0949999999999998</v>
      </c>
      <c r="H68" s="115">
        <v>5.0949999999999998</v>
      </c>
      <c r="I68" s="115">
        <v>5.0949999999999998</v>
      </c>
      <c r="J68" s="115">
        <v>100</v>
      </c>
      <c r="K68" s="115">
        <v>14</v>
      </c>
      <c r="L68" s="115" t="s">
        <v>84</v>
      </c>
      <c r="M68" s="116" t="s">
        <v>14</v>
      </c>
      <c r="N68" s="18" t="s">
        <v>59</v>
      </c>
      <c r="O68" s="13">
        <v>100</v>
      </c>
      <c r="P68" s="5">
        <f t="shared" si="17"/>
        <v>8.2959999999999994</v>
      </c>
      <c r="Q68" s="5">
        <f t="shared" si="18"/>
        <v>5.0949999999999998</v>
      </c>
      <c r="R68" s="5">
        <f t="shared" si="19"/>
        <v>5.0949999999999998</v>
      </c>
      <c r="S68" s="5">
        <f t="shared" si="20"/>
        <v>5.0949999999999998</v>
      </c>
      <c r="T68" s="5">
        <f t="shared" si="21"/>
        <v>5.0949999999999998</v>
      </c>
      <c r="U68" s="5">
        <f t="shared" si="22"/>
        <v>5.0949999999999998</v>
      </c>
      <c r="V68" s="5">
        <f t="shared" si="23"/>
        <v>5.0949999999999998</v>
      </c>
      <c r="W68" s="5"/>
    </row>
    <row r="69" spans="1:23" s="18" customFormat="1">
      <c r="A69" s="143" t="s">
        <v>82</v>
      </c>
      <c r="B69" s="115" t="s">
        <v>83</v>
      </c>
      <c r="C69" s="115">
        <v>18.792000000000002</v>
      </c>
      <c r="D69" s="115">
        <v>18.05</v>
      </c>
      <c r="E69" s="115">
        <v>18.05</v>
      </c>
      <c r="F69" s="115">
        <v>18.052</v>
      </c>
      <c r="G69" s="116">
        <v>18.052</v>
      </c>
      <c r="H69" s="116">
        <v>18.052</v>
      </c>
      <c r="I69" s="116">
        <v>18.052</v>
      </c>
      <c r="J69" s="115">
        <v>100</v>
      </c>
      <c r="K69" s="115">
        <v>14</v>
      </c>
      <c r="L69" s="115" t="s">
        <v>84</v>
      </c>
      <c r="M69" s="116" t="s">
        <v>544</v>
      </c>
      <c r="N69" s="18" t="s">
        <v>59</v>
      </c>
      <c r="O69" s="13">
        <v>100</v>
      </c>
      <c r="P69" s="5">
        <f t="shared" si="17"/>
        <v>18.792000000000002</v>
      </c>
      <c r="Q69" s="5">
        <f t="shared" si="18"/>
        <v>18.05</v>
      </c>
      <c r="R69" s="5">
        <f t="shared" si="19"/>
        <v>18.05</v>
      </c>
      <c r="S69" s="5">
        <f t="shared" si="20"/>
        <v>18.052</v>
      </c>
      <c r="T69" s="5">
        <f t="shared" si="21"/>
        <v>18.052</v>
      </c>
      <c r="U69" s="5">
        <f t="shared" si="22"/>
        <v>18.052</v>
      </c>
      <c r="V69" s="5">
        <f t="shared" si="23"/>
        <v>18.052</v>
      </c>
      <c r="W69" s="5"/>
    </row>
    <row r="70" spans="1:23" s="119" customFormat="1">
      <c r="A70" s="143" t="s">
        <v>82</v>
      </c>
      <c r="B70" s="116" t="s">
        <v>83</v>
      </c>
      <c r="C70" s="116">
        <v>0.46400000000000002</v>
      </c>
      <c r="D70" s="117">
        <v>0</v>
      </c>
      <c r="E70" s="117">
        <v>0</v>
      </c>
      <c r="F70" s="117">
        <v>0</v>
      </c>
      <c r="G70" s="117">
        <v>0</v>
      </c>
      <c r="H70" s="117">
        <v>0</v>
      </c>
      <c r="I70" s="117">
        <v>0</v>
      </c>
      <c r="J70" s="116">
        <v>100</v>
      </c>
      <c r="K70" s="116">
        <v>14</v>
      </c>
      <c r="L70" s="116" t="s">
        <v>84</v>
      </c>
      <c r="M70" s="116" t="s">
        <v>100</v>
      </c>
      <c r="N70" s="119" t="s">
        <v>59</v>
      </c>
      <c r="O70" s="13">
        <v>100</v>
      </c>
      <c r="P70" s="5">
        <f t="shared" si="17"/>
        <v>0.46400000000000002</v>
      </c>
      <c r="Q70" s="5">
        <f t="shared" si="18"/>
        <v>0</v>
      </c>
      <c r="R70" s="5">
        <f t="shared" si="19"/>
        <v>0</v>
      </c>
      <c r="S70" s="5">
        <f t="shared" si="20"/>
        <v>0</v>
      </c>
      <c r="T70" s="5">
        <f t="shared" si="21"/>
        <v>0</v>
      </c>
      <c r="U70" s="5">
        <f t="shared" si="22"/>
        <v>0</v>
      </c>
      <c r="V70" s="5">
        <f t="shared" si="23"/>
        <v>0</v>
      </c>
      <c r="W70" s="5"/>
    </row>
    <row r="71" spans="1:23" s="3" customFormat="1" ht="15">
      <c r="A71" s="87"/>
      <c r="B71" s="3" t="s">
        <v>86</v>
      </c>
      <c r="C71" s="12">
        <f>SUM(C66:C70)</f>
        <v>61.612000000000002</v>
      </c>
      <c r="D71" s="12">
        <f t="shared" ref="D71:I71" si="24">SUM(D66:D70)</f>
        <v>60.69</v>
      </c>
      <c r="E71" s="12">
        <f t="shared" si="24"/>
        <v>60.469000000000008</v>
      </c>
      <c r="F71" s="12">
        <f t="shared" si="24"/>
        <v>60.472000000000001</v>
      </c>
      <c r="G71" s="12">
        <f t="shared" si="24"/>
        <v>60.472000000000001</v>
      </c>
      <c r="H71" s="12">
        <f t="shared" si="24"/>
        <v>60.472000000000001</v>
      </c>
      <c r="I71" s="12">
        <f t="shared" si="24"/>
        <v>60.472000000000001</v>
      </c>
      <c r="L71" s="1"/>
      <c r="O71" s="72"/>
      <c r="P71" s="6">
        <f>SUM(P66:P70)</f>
        <v>61.612000000000002</v>
      </c>
      <c r="Q71" s="6">
        <f t="shared" ref="Q71:V71" si="25">SUM(Q66:Q70)</f>
        <v>60.69</v>
      </c>
      <c r="R71" s="6">
        <f t="shared" si="25"/>
        <v>60.469000000000008</v>
      </c>
      <c r="S71" s="6">
        <f t="shared" si="25"/>
        <v>60.472000000000001</v>
      </c>
      <c r="T71" s="6">
        <f t="shared" si="25"/>
        <v>60.472000000000001</v>
      </c>
      <c r="U71" s="6">
        <f t="shared" si="25"/>
        <v>60.472000000000001</v>
      </c>
      <c r="V71" s="6">
        <f t="shared" si="25"/>
        <v>60.472000000000001</v>
      </c>
    </row>
    <row r="72" spans="1:23" s="3" customFormat="1" ht="15">
      <c r="A72" s="87"/>
      <c r="C72" s="12"/>
      <c r="D72" s="12"/>
      <c r="E72" s="12"/>
      <c r="F72" s="12"/>
      <c r="G72" s="12"/>
      <c r="H72" s="12"/>
      <c r="I72" s="12"/>
      <c r="L72" s="1"/>
      <c r="O72" s="72"/>
      <c r="P72" s="6"/>
      <c r="Q72" s="6"/>
      <c r="R72" s="6"/>
      <c r="S72" s="6"/>
      <c r="T72" s="6"/>
      <c r="U72" s="6"/>
      <c r="V72" s="6"/>
    </row>
    <row r="73" spans="1:23" s="3" customFormat="1" ht="15">
      <c r="A73" s="15"/>
      <c r="B73" s="29" t="s">
        <v>111</v>
      </c>
      <c r="C73" s="60"/>
      <c r="D73" s="63"/>
      <c r="E73" s="63"/>
      <c r="F73" s="63"/>
      <c r="G73" s="63"/>
      <c r="H73" s="63"/>
      <c r="I73" s="63"/>
      <c r="J73" s="30"/>
      <c r="K73" s="29"/>
      <c r="L73" s="111"/>
      <c r="M73" s="111"/>
      <c r="N73" s="29"/>
      <c r="O73" s="29"/>
      <c r="P73" s="6"/>
      <c r="Q73" s="6"/>
      <c r="R73" s="6"/>
      <c r="S73" s="6"/>
      <c r="T73" s="6"/>
      <c r="U73" s="6"/>
      <c r="V73" s="6"/>
    </row>
    <row r="74" spans="1:23" s="87" customFormat="1" ht="15">
      <c r="A74" s="143" t="s">
        <v>175</v>
      </c>
      <c r="B74" s="143" t="s">
        <v>167</v>
      </c>
      <c r="C74" s="146">
        <v>3.3000000000000002E-2</v>
      </c>
      <c r="D74" s="146">
        <v>3.3000000000000002E-2</v>
      </c>
      <c r="E74" s="146">
        <v>3.3000000000000002E-2</v>
      </c>
      <c r="F74" s="146">
        <v>3.3000000000000002E-2</v>
      </c>
      <c r="G74" s="146">
        <v>3.3000000000000002E-2</v>
      </c>
      <c r="H74" s="146">
        <v>3.3000000000000002E-2</v>
      </c>
      <c r="I74" s="146">
        <v>3.3000000000000002E-2</v>
      </c>
      <c r="J74" s="147">
        <v>0</v>
      </c>
      <c r="K74" s="143">
        <v>4</v>
      </c>
      <c r="L74" s="143" t="s">
        <v>435</v>
      </c>
      <c r="M74" s="143" t="s">
        <v>168</v>
      </c>
      <c r="N74" s="143" t="s">
        <v>58</v>
      </c>
      <c r="O74" s="148">
        <v>0</v>
      </c>
      <c r="P74" s="149"/>
      <c r="Q74" s="149"/>
      <c r="R74" s="149"/>
      <c r="S74" s="149"/>
      <c r="T74" s="149"/>
      <c r="U74" s="149"/>
      <c r="V74" s="149"/>
    </row>
    <row r="75" spans="1:23" s="87" customFormat="1" ht="15">
      <c r="A75" s="143" t="s">
        <v>175</v>
      </c>
      <c r="B75" s="143" t="s">
        <v>371</v>
      </c>
      <c r="C75" s="146">
        <v>0.25</v>
      </c>
      <c r="D75" s="146">
        <v>0.25</v>
      </c>
      <c r="E75" s="146">
        <v>0.2</v>
      </c>
      <c r="F75" s="146">
        <v>0.2</v>
      </c>
      <c r="G75" s="146">
        <v>0.15</v>
      </c>
      <c r="H75" s="146">
        <v>0.15</v>
      </c>
      <c r="I75" s="146">
        <v>0.15</v>
      </c>
      <c r="J75" s="147">
        <v>0</v>
      </c>
      <c r="K75" s="143">
        <v>4</v>
      </c>
      <c r="L75" s="143" t="s">
        <v>435</v>
      </c>
      <c r="M75" s="143" t="s">
        <v>165</v>
      </c>
      <c r="N75" s="143" t="s">
        <v>58</v>
      </c>
      <c r="O75" s="148">
        <v>0</v>
      </c>
      <c r="P75" s="149"/>
      <c r="Q75" s="149"/>
      <c r="R75" s="149"/>
      <c r="S75" s="149"/>
      <c r="T75" s="149"/>
      <c r="U75" s="149"/>
      <c r="V75" s="149"/>
    </row>
    <row r="76" spans="1:23" s="87" customFormat="1" ht="15">
      <c r="A76" s="143" t="s">
        <v>175</v>
      </c>
      <c r="B76" s="143" t="s">
        <v>173</v>
      </c>
      <c r="C76" s="146">
        <v>0.6</v>
      </c>
      <c r="D76" s="146">
        <v>0.6</v>
      </c>
      <c r="E76" s="146">
        <v>0.6</v>
      </c>
      <c r="F76" s="146">
        <v>0.6</v>
      </c>
      <c r="G76" s="146">
        <v>0.6</v>
      </c>
      <c r="H76" s="146">
        <v>0.6</v>
      </c>
      <c r="I76" s="146">
        <v>0.6</v>
      </c>
      <c r="J76" s="147">
        <v>0.1</v>
      </c>
      <c r="K76" s="143">
        <v>4</v>
      </c>
      <c r="L76" s="143" t="s">
        <v>435</v>
      </c>
      <c r="M76" s="143" t="s">
        <v>174</v>
      </c>
      <c r="N76" s="143" t="s">
        <v>58</v>
      </c>
      <c r="O76" s="148">
        <v>0</v>
      </c>
      <c r="P76" s="149"/>
      <c r="Q76" s="149"/>
      <c r="R76" s="149"/>
      <c r="S76" s="149"/>
      <c r="T76" s="149"/>
      <c r="U76" s="149"/>
      <c r="V76" s="149"/>
    </row>
    <row r="77" spans="1:23" s="87" customFormat="1" ht="15">
      <c r="A77" s="143" t="s">
        <v>175</v>
      </c>
      <c r="B77" s="143" t="s">
        <v>157</v>
      </c>
      <c r="C77" s="146">
        <v>0.36299999999999999</v>
      </c>
      <c r="D77" s="146">
        <v>0.36299999999999999</v>
      </c>
      <c r="E77" s="146">
        <v>0.42399999999999999</v>
      </c>
      <c r="F77" s="146">
        <v>0.36299999999999999</v>
      </c>
      <c r="G77" s="146" t="s">
        <v>506</v>
      </c>
      <c r="H77" s="146" t="s">
        <v>506</v>
      </c>
      <c r="I77" s="146" t="s">
        <v>506</v>
      </c>
      <c r="J77" s="147">
        <v>0.1</v>
      </c>
      <c r="K77" s="143">
        <v>4</v>
      </c>
      <c r="L77" s="143" t="s">
        <v>435</v>
      </c>
      <c r="M77" s="143" t="s">
        <v>158</v>
      </c>
      <c r="N77" s="143" t="s">
        <v>58</v>
      </c>
      <c r="O77" s="148">
        <v>0</v>
      </c>
      <c r="P77" s="149"/>
      <c r="Q77" s="149"/>
      <c r="R77" s="149"/>
      <c r="S77" s="149"/>
      <c r="T77" s="149"/>
      <c r="U77" s="149"/>
      <c r="V77" s="149"/>
    </row>
    <row r="78" spans="1:23" s="87" customFormat="1" ht="15">
      <c r="A78" s="143" t="s">
        <v>175</v>
      </c>
      <c r="B78" s="143" t="s">
        <v>156</v>
      </c>
      <c r="C78" s="146">
        <v>0.17</v>
      </c>
      <c r="D78" s="146">
        <v>0.13</v>
      </c>
      <c r="E78" s="146">
        <v>0.13</v>
      </c>
      <c r="F78" s="146">
        <v>0.13</v>
      </c>
      <c r="G78" s="146">
        <v>0.13</v>
      </c>
      <c r="H78" s="146">
        <v>0.13</v>
      </c>
      <c r="I78" s="146">
        <v>0.13</v>
      </c>
      <c r="J78" s="147">
        <v>0</v>
      </c>
      <c r="K78" s="143">
        <v>4</v>
      </c>
      <c r="L78" s="143" t="s">
        <v>435</v>
      </c>
      <c r="M78" s="143" t="s">
        <v>156</v>
      </c>
      <c r="N78" s="143" t="s">
        <v>58</v>
      </c>
      <c r="O78" s="148">
        <v>0</v>
      </c>
      <c r="P78" s="149"/>
      <c r="Q78" s="149"/>
      <c r="R78" s="149"/>
      <c r="S78" s="149"/>
      <c r="T78" s="149"/>
      <c r="U78" s="149"/>
      <c r="V78" s="149"/>
    </row>
    <row r="79" spans="1:23" s="87" customFormat="1" ht="15">
      <c r="A79" s="143" t="s">
        <v>175</v>
      </c>
      <c r="B79" s="143" t="s">
        <v>154</v>
      </c>
      <c r="C79" s="146">
        <v>0.6</v>
      </c>
      <c r="D79" s="146">
        <v>0.55000000000000004</v>
      </c>
      <c r="E79" s="146">
        <v>0.55000000000000004</v>
      </c>
      <c r="F79" s="146">
        <v>0.55000000000000004</v>
      </c>
      <c r="G79" s="146">
        <v>0.55000000000000004</v>
      </c>
      <c r="H79" s="146">
        <v>0.55000000000000004</v>
      </c>
      <c r="I79" s="146">
        <v>0.55000000000000004</v>
      </c>
      <c r="J79" s="147">
        <v>0.105687390789696</v>
      </c>
      <c r="K79" s="143">
        <v>4</v>
      </c>
      <c r="L79" s="143" t="s">
        <v>435</v>
      </c>
      <c r="M79" s="143" t="s">
        <v>155</v>
      </c>
      <c r="N79" s="143" t="s">
        <v>58</v>
      </c>
      <c r="O79" s="148">
        <v>0</v>
      </c>
      <c r="P79" s="149"/>
      <c r="Q79" s="149"/>
      <c r="R79" s="149"/>
      <c r="S79" s="149"/>
      <c r="T79" s="149"/>
      <c r="U79" s="149"/>
      <c r="V79" s="149"/>
    </row>
    <row r="80" spans="1:23" s="87" customFormat="1" ht="15">
      <c r="A80" s="143" t="s">
        <v>175</v>
      </c>
      <c r="B80" s="143" t="s">
        <v>372</v>
      </c>
      <c r="C80" s="146">
        <v>0.47499999999999998</v>
      </c>
      <c r="D80" s="146">
        <v>0.47499999999999998</v>
      </c>
      <c r="E80" s="146">
        <v>0.47499999999999998</v>
      </c>
      <c r="F80" s="146">
        <v>0.47499999999999998</v>
      </c>
      <c r="G80" s="146">
        <v>0.47499999999999998</v>
      </c>
      <c r="H80" s="146">
        <v>0.47499999999999998</v>
      </c>
      <c r="I80" s="146">
        <v>0.47499999999999998</v>
      </c>
      <c r="J80" s="147">
        <v>0.1</v>
      </c>
      <c r="K80" s="143">
        <v>4</v>
      </c>
      <c r="L80" s="143" t="s">
        <v>435</v>
      </c>
      <c r="M80" s="143" t="s">
        <v>171</v>
      </c>
      <c r="N80" s="143" t="s">
        <v>58</v>
      </c>
      <c r="O80" s="148">
        <v>0</v>
      </c>
      <c r="P80" s="149"/>
      <c r="Q80" s="149"/>
      <c r="R80" s="149"/>
      <c r="S80" s="149"/>
      <c r="T80" s="149"/>
      <c r="U80" s="149"/>
      <c r="V80" s="149"/>
    </row>
    <row r="81" spans="1:23" s="87" customFormat="1" ht="15">
      <c r="A81" s="143" t="s">
        <v>175</v>
      </c>
      <c r="B81" s="143" t="s">
        <v>373</v>
      </c>
      <c r="C81" s="146">
        <v>0</v>
      </c>
      <c r="D81" s="146">
        <v>1.3839999999999999</v>
      </c>
      <c r="E81" s="146">
        <v>1.3959999999999999</v>
      </c>
      <c r="F81" s="146">
        <v>1.339</v>
      </c>
      <c r="G81" s="146">
        <v>1.339</v>
      </c>
      <c r="H81" s="146">
        <v>1.3160000000000001</v>
      </c>
      <c r="I81" s="146">
        <v>1.3160000000000001</v>
      </c>
      <c r="J81" s="147">
        <v>0.370258159066569</v>
      </c>
      <c r="K81" s="143">
        <v>4</v>
      </c>
      <c r="L81" s="143" t="s">
        <v>435</v>
      </c>
      <c r="M81" s="143" t="s">
        <v>423</v>
      </c>
      <c r="N81" s="143" t="s">
        <v>58</v>
      </c>
      <c r="O81" s="148">
        <v>0</v>
      </c>
      <c r="P81" s="148"/>
      <c r="Q81" s="149"/>
      <c r="R81" s="149"/>
      <c r="S81" s="149"/>
      <c r="T81" s="149"/>
      <c r="U81" s="149"/>
      <c r="V81" s="149"/>
    </row>
    <row r="82" spans="1:23" s="87" customFormat="1" ht="15">
      <c r="A82" s="143" t="s">
        <v>374</v>
      </c>
      <c r="B82" s="143" t="s">
        <v>159</v>
      </c>
      <c r="C82" s="146">
        <v>27.283999999999999</v>
      </c>
      <c r="D82" s="146">
        <v>26.041</v>
      </c>
      <c r="E82" s="146">
        <v>23.157</v>
      </c>
      <c r="F82" s="146">
        <v>21.885000000000002</v>
      </c>
      <c r="G82" s="146">
        <v>22.010999999999999</v>
      </c>
      <c r="H82" s="146">
        <v>22.131</v>
      </c>
      <c r="I82" s="146">
        <v>22.131</v>
      </c>
      <c r="J82" s="147">
        <v>10.6</v>
      </c>
      <c r="K82" s="143">
        <v>2</v>
      </c>
      <c r="L82" s="143" t="s">
        <v>160</v>
      </c>
      <c r="M82" s="143" t="s">
        <v>161</v>
      </c>
      <c r="N82" s="143" t="s">
        <v>58</v>
      </c>
      <c r="O82" s="148">
        <v>0</v>
      </c>
      <c r="P82" s="149"/>
      <c r="Q82" s="149"/>
      <c r="R82" s="149"/>
      <c r="S82" s="149"/>
      <c r="T82" s="149"/>
      <c r="U82" s="149"/>
      <c r="V82" s="149"/>
    </row>
    <row r="83" spans="1:23" s="87" customFormat="1" ht="15">
      <c r="A83" s="143" t="s">
        <v>376</v>
      </c>
      <c r="B83" s="143" t="s">
        <v>375</v>
      </c>
      <c r="C83" s="146">
        <v>7.7850000000000001</v>
      </c>
      <c r="D83" s="146">
        <v>8.0540000000000003</v>
      </c>
      <c r="E83" s="146">
        <v>7.1840000000000002</v>
      </c>
      <c r="F83" s="146">
        <v>7.0549999999999997</v>
      </c>
      <c r="G83" s="146">
        <v>7.056</v>
      </c>
      <c r="H83" s="146">
        <v>7.0570000000000004</v>
      </c>
      <c r="I83" s="146">
        <v>7.0620000000000003</v>
      </c>
      <c r="J83" s="147">
        <f>0.290968003240178*100</f>
        <v>29.096800324017803</v>
      </c>
      <c r="K83" s="143">
        <v>1.3</v>
      </c>
      <c r="L83" s="143"/>
      <c r="M83" s="143" t="s">
        <v>162</v>
      </c>
      <c r="N83" s="143" t="s">
        <v>58</v>
      </c>
      <c r="O83" s="148">
        <v>0</v>
      </c>
      <c r="P83" s="149"/>
      <c r="Q83" s="149"/>
      <c r="R83" s="149"/>
      <c r="S83" s="149"/>
      <c r="T83" s="149"/>
      <c r="U83" s="149"/>
      <c r="V83" s="149"/>
    </row>
    <row r="84" spans="1:23" s="87" customFormat="1" ht="15">
      <c r="A84" s="143" t="s">
        <v>381</v>
      </c>
      <c r="B84" s="143" t="s">
        <v>380</v>
      </c>
      <c r="C84" s="146">
        <v>0.52300000000000002</v>
      </c>
      <c r="D84" s="146">
        <v>0.45</v>
      </c>
      <c r="E84" s="146">
        <v>0.45</v>
      </c>
      <c r="F84" s="146">
        <v>0.45</v>
      </c>
      <c r="G84" s="146">
        <v>0.45</v>
      </c>
      <c r="H84" s="146">
        <v>0.45</v>
      </c>
      <c r="I84" s="146">
        <v>0.45</v>
      </c>
      <c r="J84" s="147">
        <f>0.00891442155309033*100</f>
        <v>0.89144215530903292</v>
      </c>
      <c r="K84" s="143">
        <v>4</v>
      </c>
      <c r="L84" s="143" t="s">
        <v>435</v>
      </c>
      <c r="M84" s="143" t="s">
        <v>505</v>
      </c>
      <c r="N84" s="143" t="s">
        <v>58</v>
      </c>
      <c r="O84" s="148">
        <v>0</v>
      </c>
      <c r="P84" s="149"/>
      <c r="Q84" s="149"/>
      <c r="R84" s="149"/>
      <c r="S84" s="149"/>
      <c r="T84" s="149"/>
      <c r="U84" s="149"/>
      <c r="V84" s="149"/>
    </row>
    <row r="85" spans="1:23" s="87" customFormat="1" ht="15">
      <c r="A85" s="143" t="s">
        <v>382</v>
      </c>
      <c r="B85" s="143" t="s">
        <v>504</v>
      </c>
      <c r="C85" s="146">
        <v>1.3420000000000001</v>
      </c>
      <c r="D85" s="146">
        <v>1.38</v>
      </c>
      <c r="E85" s="146">
        <v>1.605</v>
      </c>
      <c r="F85" s="146">
        <v>1.605</v>
      </c>
      <c r="G85" s="146">
        <v>1.605</v>
      </c>
      <c r="H85" s="146">
        <v>1.605</v>
      </c>
      <c r="I85" s="146">
        <v>1.605</v>
      </c>
      <c r="J85" s="147">
        <f>0.0317947702060222*100</f>
        <v>3.1794770206022198</v>
      </c>
      <c r="K85" s="143">
        <v>4</v>
      </c>
      <c r="L85" s="143" t="s">
        <v>435</v>
      </c>
      <c r="M85" s="143" t="s">
        <v>166</v>
      </c>
      <c r="N85" s="143" t="s">
        <v>58</v>
      </c>
      <c r="O85" s="148">
        <v>0</v>
      </c>
      <c r="P85" s="149"/>
      <c r="Q85" s="149"/>
      <c r="R85" s="149"/>
      <c r="S85" s="149"/>
      <c r="T85" s="149"/>
      <c r="U85" s="149"/>
      <c r="V85" s="149"/>
    </row>
    <row r="86" spans="1:23" s="205" customFormat="1" ht="15">
      <c r="A86" s="200" t="s">
        <v>383</v>
      </c>
      <c r="B86" s="200" t="s">
        <v>169</v>
      </c>
      <c r="C86" s="201">
        <v>3.738</v>
      </c>
      <c r="D86" s="201">
        <v>3.7869999999999999</v>
      </c>
      <c r="E86" s="201">
        <v>4.0199999999999996</v>
      </c>
      <c r="F86" s="201">
        <v>4.0199999999999996</v>
      </c>
      <c r="G86" s="201">
        <v>4.0199999999999996</v>
      </c>
      <c r="H86" s="201">
        <v>4.0199999999999996</v>
      </c>
      <c r="I86" s="201">
        <v>4.0199999999999996</v>
      </c>
      <c r="J86" s="202">
        <f>0.239015399250847*100</f>
        <v>23.901539925084698</v>
      </c>
      <c r="K86" s="200">
        <v>4</v>
      </c>
      <c r="L86" s="200" t="s">
        <v>435</v>
      </c>
      <c r="M86" s="143" t="s">
        <v>170</v>
      </c>
      <c r="N86" s="200" t="s">
        <v>58</v>
      </c>
      <c r="O86" s="203">
        <v>0</v>
      </c>
      <c r="P86" s="204"/>
      <c r="Q86" s="204"/>
      <c r="R86" s="204"/>
      <c r="S86" s="204"/>
      <c r="T86" s="204"/>
      <c r="U86" s="204"/>
      <c r="V86" s="204"/>
    </row>
    <row r="87" spans="1:23" s="87" customFormat="1" ht="15">
      <c r="A87" s="143" t="s">
        <v>384</v>
      </c>
      <c r="B87" s="143" t="s">
        <v>172</v>
      </c>
      <c r="C87" s="146">
        <v>1.32</v>
      </c>
      <c r="D87" s="146">
        <v>1.161</v>
      </c>
      <c r="E87" s="146">
        <v>1.0900000000000001</v>
      </c>
      <c r="F87" s="146">
        <v>1.054</v>
      </c>
      <c r="G87" s="146">
        <v>1.321</v>
      </c>
      <c r="H87" s="146">
        <v>1.321</v>
      </c>
      <c r="I87" s="146">
        <v>1.321</v>
      </c>
      <c r="J87" s="147">
        <v>3.6</v>
      </c>
      <c r="K87" s="143">
        <v>2</v>
      </c>
      <c r="L87" s="143" t="s">
        <v>160</v>
      </c>
      <c r="M87" s="143" t="s">
        <v>44</v>
      </c>
      <c r="N87" s="143" t="s">
        <v>58</v>
      </c>
      <c r="O87" s="148">
        <v>0</v>
      </c>
      <c r="P87" s="149"/>
      <c r="Q87" s="149"/>
      <c r="R87" s="149"/>
      <c r="S87" s="149"/>
      <c r="T87" s="149"/>
      <c r="U87" s="149"/>
      <c r="V87" s="149"/>
    </row>
    <row r="88" spans="1:23" s="87" customFormat="1" ht="15">
      <c r="A88" s="143" t="s">
        <v>379</v>
      </c>
      <c r="B88" s="143" t="s">
        <v>378</v>
      </c>
      <c r="C88" s="146">
        <v>1</v>
      </c>
      <c r="D88" s="146">
        <v>1.29</v>
      </c>
      <c r="E88" s="146">
        <v>1.3280000000000001</v>
      </c>
      <c r="F88" s="146">
        <v>1.3280000000000001</v>
      </c>
      <c r="G88" s="146">
        <v>1.2549999999999999</v>
      </c>
      <c r="H88" s="146">
        <v>1.3560000000000001</v>
      </c>
      <c r="I88" s="146">
        <v>0.752</v>
      </c>
      <c r="J88" s="147">
        <f>0.0263074484944533*100</f>
        <v>2.63074484944533</v>
      </c>
      <c r="K88" s="143">
        <v>4</v>
      </c>
      <c r="L88" s="143" t="s">
        <v>435</v>
      </c>
      <c r="M88" s="143" t="s">
        <v>26</v>
      </c>
      <c r="N88" s="143" t="s">
        <v>58</v>
      </c>
      <c r="O88" s="148">
        <v>0</v>
      </c>
      <c r="P88" s="149"/>
      <c r="Q88" s="149"/>
      <c r="R88" s="149"/>
      <c r="S88" s="149"/>
      <c r="T88" s="149"/>
      <c r="U88" s="149"/>
      <c r="V88" s="149"/>
    </row>
    <row r="89" spans="1:23" s="87" customFormat="1" ht="15">
      <c r="A89" s="206" t="s">
        <v>502</v>
      </c>
      <c r="B89" s="143" t="s">
        <v>503</v>
      </c>
      <c r="C89" s="146">
        <v>0.5</v>
      </c>
      <c r="D89" s="146">
        <v>0.5</v>
      </c>
      <c r="E89" s="146">
        <v>0.5</v>
      </c>
      <c r="F89" s="146">
        <v>0.5</v>
      </c>
      <c r="G89" s="146">
        <v>0.5</v>
      </c>
      <c r="H89" s="146">
        <v>0.5</v>
      </c>
      <c r="I89" s="146">
        <v>0.5</v>
      </c>
      <c r="J89" s="147">
        <v>0</v>
      </c>
      <c r="K89" s="143">
        <v>2</v>
      </c>
      <c r="L89" s="143" t="s">
        <v>160</v>
      </c>
      <c r="M89" s="143" t="s">
        <v>41</v>
      </c>
      <c r="N89" s="143" t="s">
        <v>58</v>
      </c>
      <c r="O89" s="148">
        <v>0</v>
      </c>
      <c r="P89" s="149"/>
      <c r="Q89" s="149"/>
      <c r="R89" s="149"/>
      <c r="S89" s="149"/>
      <c r="T89" s="149"/>
      <c r="U89" s="149"/>
      <c r="V89" s="149"/>
    </row>
    <row r="90" spans="1:23" s="87" customFormat="1" ht="15">
      <c r="A90" s="143" t="s">
        <v>377</v>
      </c>
      <c r="B90" s="143" t="s">
        <v>163</v>
      </c>
      <c r="C90" s="146">
        <v>3.9E-2</v>
      </c>
      <c r="D90" s="146">
        <v>0.04</v>
      </c>
      <c r="E90" s="146">
        <v>0.05</v>
      </c>
      <c r="F90" s="146">
        <v>0.05</v>
      </c>
      <c r="G90" s="146">
        <v>0.05</v>
      </c>
      <c r="H90" s="146">
        <v>0.05</v>
      </c>
      <c r="I90" s="146">
        <v>0.05</v>
      </c>
      <c r="J90" s="147">
        <f>0.00355897216883764*100</f>
        <v>0.35589721688376402</v>
      </c>
      <c r="K90" s="143">
        <v>4</v>
      </c>
      <c r="L90" s="143" t="s">
        <v>435</v>
      </c>
      <c r="M90" s="143" t="s">
        <v>164</v>
      </c>
      <c r="N90" s="143" t="s">
        <v>59</v>
      </c>
      <c r="O90" s="148">
        <v>0</v>
      </c>
      <c r="P90" s="149"/>
      <c r="Q90" s="149"/>
      <c r="R90" s="149"/>
      <c r="S90" s="149"/>
      <c r="T90" s="149"/>
      <c r="U90" s="149"/>
      <c r="V90" s="149"/>
      <c r="W90" s="149"/>
    </row>
    <row r="91" spans="1:23" s="87" customFormat="1" ht="15">
      <c r="A91" s="170" t="s">
        <v>382</v>
      </c>
      <c r="B91" s="143" t="s">
        <v>499</v>
      </c>
      <c r="C91" s="146">
        <v>0.443</v>
      </c>
      <c r="D91" s="146">
        <v>0.3</v>
      </c>
      <c r="E91" s="146">
        <v>0.3</v>
      </c>
      <c r="F91" s="146">
        <v>0.3</v>
      </c>
      <c r="G91" s="146">
        <v>0.3</v>
      </c>
      <c r="H91" s="146">
        <v>0.3</v>
      </c>
      <c r="I91" s="146">
        <v>0.3</v>
      </c>
      <c r="J91" s="147">
        <f>0.00594294770206022*100</f>
        <v>0.59429477020602206</v>
      </c>
      <c r="K91" s="143">
        <v>4</v>
      </c>
      <c r="L91" s="143" t="s">
        <v>435</v>
      </c>
      <c r="M91" s="143" t="s">
        <v>166</v>
      </c>
      <c r="N91" s="143" t="s">
        <v>59</v>
      </c>
      <c r="O91" s="148">
        <v>0</v>
      </c>
      <c r="P91" s="149"/>
      <c r="Q91" s="149"/>
      <c r="R91" s="149"/>
      <c r="S91" s="149"/>
      <c r="T91" s="149"/>
      <c r="U91" s="149"/>
      <c r="V91" s="149"/>
    </row>
    <row r="92" spans="1:23" s="87" customFormat="1" ht="15">
      <c r="A92" s="206" t="s">
        <v>501</v>
      </c>
      <c r="B92" s="143" t="s">
        <v>500</v>
      </c>
      <c r="C92" s="146">
        <v>0.2</v>
      </c>
      <c r="D92" s="146">
        <v>0.6</v>
      </c>
      <c r="E92" s="146">
        <v>0</v>
      </c>
      <c r="F92" s="146">
        <v>0</v>
      </c>
      <c r="G92" s="146">
        <v>0</v>
      </c>
      <c r="H92" s="146">
        <v>0</v>
      </c>
      <c r="I92" s="146">
        <v>0</v>
      </c>
      <c r="J92" s="147">
        <v>0</v>
      </c>
      <c r="K92" s="143">
        <v>4</v>
      </c>
      <c r="L92" s="143" t="s">
        <v>435</v>
      </c>
      <c r="M92" s="143" t="s">
        <v>100</v>
      </c>
      <c r="N92" s="143" t="s">
        <v>59</v>
      </c>
      <c r="O92" s="148">
        <v>0</v>
      </c>
      <c r="P92" s="149"/>
      <c r="Q92" s="149"/>
      <c r="R92" s="149"/>
      <c r="S92" s="149"/>
      <c r="T92" s="149"/>
      <c r="U92" s="149"/>
      <c r="V92" s="149"/>
    </row>
    <row r="93" spans="1:23" s="87" customFormat="1" ht="15">
      <c r="A93" s="143" t="s">
        <v>175</v>
      </c>
      <c r="B93" s="143" t="s">
        <v>176</v>
      </c>
      <c r="C93" s="146">
        <v>0.17499999999999999</v>
      </c>
      <c r="D93" s="146">
        <v>0.41299999999999998</v>
      </c>
      <c r="E93" s="146">
        <v>0.25</v>
      </c>
      <c r="F93" s="146">
        <v>0.25</v>
      </c>
      <c r="G93" s="146">
        <v>0.25</v>
      </c>
      <c r="H93" s="146">
        <v>0.25</v>
      </c>
      <c r="I93" s="146">
        <v>0.25</v>
      </c>
      <c r="J93" s="147">
        <v>0</v>
      </c>
      <c r="K93" s="143">
        <v>4</v>
      </c>
      <c r="L93" s="143" t="s">
        <v>435</v>
      </c>
      <c r="M93" s="143" t="s">
        <v>9</v>
      </c>
      <c r="N93" s="143" t="s">
        <v>59</v>
      </c>
      <c r="O93" s="148">
        <v>0</v>
      </c>
      <c r="P93" s="149"/>
      <c r="Q93" s="149"/>
      <c r="R93" s="149"/>
      <c r="S93" s="149"/>
      <c r="T93" s="149"/>
      <c r="U93" s="149"/>
      <c r="V93" s="149"/>
    </row>
    <row r="94" spans="1:23" s="87" customFormat="1" ht="15">
      <c r="A94" s="143" t="s">
        <v>175</v>
      </c>
      <c r="B94" s="143" t="s">
        <v>385</v>
      </c>
      <c r="C94" s="146">
        <v>0.4</v>
      </c>
      <c r="D94" s="146">
        <v>0.4</v>
      </c>
      <c r="E94" s="146">
        <v>0.4</v>
      </c>
      <c r="F94" s="146">
        <v>0.4</v>
      </c>
      <c r="G94" s="146">
        <v>0.4</v>
      </c>
      <c r="H94" s="146">
        <v>0.4</v>
      </c>
      <c r="I94" s="146">
        <v>0.4</v>
      </c>
      <c r="J94" s="147">
        <v>7.0458260526464089E-2</v>
      </c>
      <c r="K94" s="143">
        <v>4</v>
      </c>
      <c r="L94" s="143" t="s">
        <v>435</v>
      </c>
      <c r="M94" s="143" t="s">
        <v>168</v>
      </c>
      <c r="N94" s="143" t="s">
        <v>59</v>
      </c>
      <c r="O94" s="148">
        <v>0</v>
      </c>
      <c r="P94" s="149"/>
      <c r="Q94" s="149"/>
      <c r="R94" s="149"/>
      <c r="S94" s="149"/>
      <c r="T94" s="149"/>
      <c r="U94" s="149"/>
      <c r="V94" s="149"/>
    </row>
    <row r="95" spans="1:23" s="87" customFormat="1" ht="15">
      <c r="A95" s="143" t="s">
        <v>175</v>
      </c>
      <c r="B95" s="143" t="s">
        <v>178</v>
      </c>
      <c r="C95" s="146">
        <v>3.2970000000000002</v>
      </c>
      <c r="D95" s="146">
        <v>3.125</v>
      </c>
      <c r="E95" s="146">
        <v>3.4</v>
      </c>
      <c r="F95" s="146">
        <v>3.4</v>
      </c>
      <c r="G95" s="146">
        <v>3.4</v>
      </c>
      <c r="H95" s="146">
        <v>3.4</v>
      </c>
      <c r="I95" s="146">
        <v>3.4</v>
      </c>
      <c r="J95" s="147">
        <v>0.59889521447494498</v>
      </c>
      <c r="K95" s="143">
        <v>4</v>
      </c>
      <c r="L95" s="143" t="s">
        <v>435</v>
      </c>
      <c r="M95" s="143" t="s">
        <v>9</v>
      </c>
      <c r="N95" s="143" t="s">
        <v>59</v>
      </c>
      <c r="O95" s="148">
        <v>100</v>
      </c>
      <c r="P95" s="68">
        <f t="shared" ref="P95:V95" si="26">+$O95/100*C95</f>
        <v>3.2970000000000002</v>
      </c>
      <c r="Q95" s="68">
        <f t="shared" si="26"/>
        <v>3.125</v>
      </c>
      <c r="R95" s="68">
        <f t="shared" si="26"/>
        <v>3.4</v>
      </c>
      <c r="S95" s="68">
        <f t="shared" si="26"/>
        <v>3.4</v>
      </c>
      <c r="T95" s="68">
        <f t="shared" si="26"/>
        <v>3.4</v>
      </c>
      <c r="U95" s="68">
        <f t="shared" si="26"/>
        <v>3.4</v>
      </c>
      <c r="V95" s="68">
        <f t="shared" si="26"/>
        <v>3.4</v>
      </c>
    </row>
    <row r="96" spans="1:23" s="87" customFormat="1" ht="15">
      <c r="A96" s="143" t="s">
        <v>386</v>
      </c>
      <c r="B96" s="143" t="s">
        <v>177</v>
      </c>
      <c r="C96" s="146">
        <v>3.3479999999999999</v>
      </c>
      <c r="D96" s="146">
        <v>3.01</v>
      </c>
      <c r="E96" s="146">
        <v>3.02</v>
      </c>
      <c r="F96" s="146">
        <v>3.22</v>
      </c>
      <c r="G96" s="146">
        <v>3.22</v>
      </c>
      <c r="H96" s="146">
        <v>3.22</v>
      </c>
      <c r="I96" s="146">
        <v>3.22</v>
      </c>
      <c r="J96" s="147">
        <v>1.5001374349513401</v>
      </c>
      <c r="K96" s="143">
        <v>4</v>
      </c>
      <c r="L96" s="143" t="s">
        <v>435</v>
      </c>
      <c r="M96" s="143" t="s">
        <v>9</v>
      </c>
      <c r="N96" s="143" t="s">
        <v>59</v>
      </c>
      <c r="O96" s="148">
        <v>100</v>
      </c>
      <c r="P96" s="68">
        <f t="shared" ref="P96:T96" si="27">+$O96/100*C96</f>
        <v>3.3479999999999999</v>
      </c>
      <c r="Q96" s="68">
        <f t="shared" si="27"/>
        <v>3.01</v>
      </c>
      <c r="R96" s="68">
        <f t="shared" si="27"/>
        <v>3.02</v>
      </c>
      <c r="S96" s="68">
        <f t="shared" si="27"/>
        <v>3.22</v>
      </c>
      <c r="T96" s="68">
        <f t="shared" si="27"/>
        <v>3.22</v>
      </c>
      <c r="U96" s="68">
        <f t="shared" ref="U96" si="28">+$O96/100*H96</f>
        <v>3.22</v>
      </c>
      <c r="V96" s="68">
        <f t="shared" ref="V96" si="29">+$O96/100*I96</f>
        <v>3.22</v>
      </c>
    </row>
    <row r="97" spans="1:22" s="87" customFormat="1" ht="15">
      <c r="A97" s="143" t="s">
        <v>387</v>
      </c>
      <c r="B97" s="143" t="s">
        <v>179</v>
      </c>
      <c r="C97" s="146">
        <v>2.1549999999999998</v>
      </c>
      <c r="D97" s="146">
        <v>2.1819999999999999</v>
      </c>
      <c r="E97" s="146">
        <v>2.1219999999999999</v>
      </c>
      <c r="F97" s="146">
        <v>2.1219999999999999</v>
      </c>
      <c r="G97" s="146">
        <v>2.1219999999999999</v>
      </c>
      <c r="H97" s="146">
        <v>2.1219999999999999</v>
      </c>
      <c r="I97" s="146">
        <v>2.1219999999999999</v>
      </c>
      <c r="J97" s="147">
        <f>0.037753976443796*100</f>
        <v>3.7753976443796002</v>
      </c>
      <c r="K97" s="143">
        <v>4</v>
      </c>
      <c r="L97" s="143" t="s">
        <v>435</v>
      </c>
      <c r="M97" s="143" t="s">
        <v>180</v>
      </c>
      <c r="N97" s="143" t="s">
        <v>59</v>
      </c>
      <c r="O97" s="148">
        <v>0</v>
      </c>
      <c r="P97" s="149"/>
      <c r="Q97" s="149"/>
      <c r="R97" s="149"/>
      <c r="S97" s="149"/>
      <c r="T97" s="149"/>
      <c r="U97" s="149"/>
      <c r="V97" s="149"/>
    </row>
    <row r="98" spans="1:22" s="87" customFormat="1" ht="15">
      <c r="A98" s="143" t="s">
        <v>388</v>
      </c>
      <c r="B98" s="143" t="s">
        <v>508</v>
      </c>
      <c r="C98" s="146">
        <v>1.25</v>
      </c>
      <c r="D98" s="146">
        <v>1.3049999999999999</v>
      </c>
      <c r="E98" s="146">
        <v>1.06</v>
      </c>
      <c r="F98" s="146">
        <v>0.96</v>
      </c>
      <c r="G98" s="146">
        <v>0.64999999999999991</v>
      </c>
      <c r="H98" s="146">
        <v>0.64999999999999991</v>
      </c>
      <c r="I98" s="146">
        <v>0.3</v>
      </c>
      <c r="J98" s="147">
        <f>0.00197511356903022*100</f>
        <v>0.19751135690302202</v>
      </c>
      <c r="K98" s="143">
        <v>4</v>
      </c>
      <c r="L98" s="143" t="s">
        <v>435</v>
      </c>
      <c r="M98" s="143" t="s">
        <v>180</v>
      </c>
      <c r="N98" s="143" t="s">
        <v>59</v>
      </c>
      <c r="O98" s="148">
        <v>0</v>
      </c>
      <c r="P98" s="149"/>
      <c r="Q98" s="149"/>
      <c r="R98" s="149"/>
      <c r="S98" s="149"/>
      <c r="T98" s="149"/>
      <c r="U98" s="149"/>
      <c r="V98" s="149"/>
    </row>
    <row r="99" spans="1:22" s="87" customFormat="1" ht="15">
      <c r="A99" s="143" t="s">
        <v>388</v>
      </c>
      <c r="B99" s="143" t="s">
        <v>507</v>
      </c>
      <c r="C99" s="146">
        <v>8.1370000000000005</v>
      </c>
      <c r="D99" s="146">
        <v>10.201000000000001</v>
      </c>
      <c r="E99" s="146">
        <v>12.997</v>
      </c>
      <c r="F99" s="146">
        <v>0.77100000000000002</v>
      </c>
      <c r="G99" s="146">
        <v>1.0209999999999999</v>
      </c>
      <c r="H99" s="146">
        <v>1.0310000000000001</v>
      </c>
      <c r="I99" s="146">
        <v>0.60099999999999998</v>
      </c>
      <c r="J99" s="147">
        <f>0.0242175009968734*100</f>
        <v>2.42175009968734</v>
      </c>
      <c r="K99" s="143">
        <v>4</v>
      </c>
      <c r="L99" s="143" t="s">
        <v>435</v>
      </c>
      <c r="M99" s="143" t="s">
        <v>489</v>
      </c>
      <c r="N99" s="143" t="s">
        <v>59</v>
      </c>
      <c r="O99" s="148">
        <v>0</v>
      </c>
      <c r="P99" s="149"/>
      <c r="Q99" s="149"/>
      <c r="R99" s="149"/>
      <c r="S99" s="149"/>
      <c r="T99" s="149"/>
      <c r="U99" s="149"/>
      <c r="V99" s="149"/>
    </row>
    <row r="100" spans="1:22">
      <c r="A100" s="4" t="s">
        <v>510</v>
      </c>
      <c r="B100" s="4" t="s">
        <v>509</v>
      </c>
      <c r="C100" s="5">
        <v>2.84</v>
      </c>
      <c r="D100" s="4">
        <v>2.3479999999999999</v>
      </c>
      <c r="E100" s="4">
        <v>1.6950000000000001</v>
      </c>
      <c r="F100" s="5">
        <v>2.6</v>
      </c>
      <c r="G100" s="5">
        <v>2.6</v>
      </c>
      <c r="H100" s="5">
        <v>3.2</v>
      </c>
      <c r="I100" s="4">
        <v>0.115</v>
      </c>
      <c r="J100" s="147">
        <f>0.00315831839576059*100</f>
        <v>0.31583183957605898</v>
      </c>
      <c r="K100" s="4">
        <v>4</v>
      </c>
      <c r="L100" s="143" t="s">
        <v>435</v>
      </c>
      <c r="M100" s="143" t="s">
        <v>489</v>
      </c>
      <c r="N100" s="143" t="s">
        <v>59</v>
      </c>
      <c r="O100" s="13">
        <v>0</v>
      </c>
    </row>
    <row r="101" spans="1:22">
      <c r="A101" s="4" t="s">
        <v>511</v>
      </c>
      <c r="B101" s="4" t="s">
        <v>512</v>
      </c>
      <c r="C101" s="5">
        <v>0</v>
      </c>
      <c r="D101" s="4">
        <v>0.56499999999999995</v>
      </c>
      <c r="E101" s="4">
        <v>0.69499999999999995</v>
      </c>
      <c r="F101" s="4">
        <v>0.69499999999999995</v>
      </c>
      <c r="G101" s="4">
        <v>0.69499999999999995</v>
      </c>
      <c r="H101" s="4">
        <v>0.69499999999999995</v>
      </c>
      <c r="I101" s="5">
        <v>0</v>
      </c>
      <c r="J101" s="147">
        <v>0</v>
      </c>
      <c r="K101" s="4">
        <v>4</v>
      </c>
      <c r="L101" s="143" t="s">
        <v>435</v>
      </c>
      <c r="M101" s="143" t="s">
        <v>489</v>
      </c>
      <c r="N101" s="143" t="s">
        <v>59</v>
      </c>
      <c r="O101" s="13">
        <v>0</v>
      </c>
    </row>
    <row r="102" spans="1:22" s="87" customFormat="1" ht="15">
      <c r="A102" s="170">
        <v>1213</v>
      </c>
      <c r="B102" s="143" t="s">
        <v>425</v>
      </c>
      <c r="C102" s="146">
        <v>2.2999999999999998</v>
      </c>
      <c r="D102" s="146">
        <v>0</v>
      </c>
      <c r="E102" s="146">
        <v>0</v>
      </c>
      <c r="F102" s="146">
        <v>0</v>
      </c>
      <c r="G102" s="146">
        <v>0</v>
      </c>
      <c r="H102" s="146">
        <v>0</v>
      </c>
      <c r="I102" s="146">
        <v>0</v>
      </c>
      <c r="J102" s="147">
        <v>0</v>
      </c>
      <c r="K102" s="143">
        <v>2</v>
      </c>
      <c r="L102" s="143" t="s">
        <v>160</v>
      </c>
      <c r="M102" s="143" t="s">
        <v>426</v>
      </c>
      <c r="N102" s="143" t="s">
        <v>59</v>
      </c>
      <c r="O102" s="148">
        <v>0</v>
      </c>
      <c r="P102" s="149"/>
      <c r="Q102" s="149"/>
      <c r="R102" s="149"/>
      <c r="S102" s="149"/>
      <c r="T102" s="149"/>
      <c r="U102" s="149"/>
      <c r="V102" s="149"/>
    </row>
    <row r="103" spans="1:22" s="3" customFormat="1" ht="15">
      <c r="A103" s="87"/>
      <c r="B103" s="3" t="s">
        <v>112</v>
      </c>
      <c r="C103" s="12">
        <f t="shared" ref="C103:I103" si="30">SUM(C74:C102)</f>
        <v>70.566999999999993</v>
      </c>
      <c r="D103" s="12">
        <f t="shared" si="30"/>
        <v>70.936999999999998</v>
      </c>
      <c r="E103" s="12">
        <f t="shared" si="30"/>
        <v>69.131</v>
      </c>
      <c r="F103" s="12">
        <f t="shared" si="30"/>
        <v>56.354999999999997</v>
      </c>
      <c r="G103" s="12">
        <f t="shared" si="30"/>
        <v>56.202999999999989</v>
      </c>
      <c r="H103" s="12">
        <f t="shared" si="30"/>
        <v>57.011999999999986</v>
      </c>
      <c r="I103" s="12">
        <f t="shared" si="30"/>
        <v>51.852999999999994</v>
      </c>
      <c r="L103" s="1"/>
      <c r="O103" s="72"/>
      <c r="P103" s="6">
        <f>+SUM(P74:P102)</f>
        <v>6.6449999999999996</v>
      </c>
      <c r="Q103" s="6">
        <f t="shared" ref="Q103:V103" si="31">+SUM(Q74:Q102)</f>
        <v>6.1349999999999998</v>
      </c>
      <c r="R103" s="6">
        <f t="shared" si="31"/>
        <v>6.42</v>
      </c>
      <c r="S103" s="6">
        <f t="shared" si="31"/>
        <v>6.62</v>
      </c>
      <c r="T103" s="6">
        <f t="shared" si="31"/>
        <v>6.62</v>
      </c>
      <c r="U103" s="6">
        <f t="shared" si="31"/>
        <v>6.62</v>
      </c>
      <c r="V103" s="6">
        <f t="shared" si="31"/>
        <v>6.62</v>
      </c>
    </row>
    <row r="104" spans="1:22" s="1" customFormat="1">
      <c r="C104" s="59"/>
      <c r="D104" s="59"/>
      <c r="E104" s="59"/>
      <c r="F104" s="59"/>
      <c r="G104" s="59"/>
      <c r="H104" s="59"/>
      <c r="I104" s="59"/>
      <c r="O104" s="71"/>
      <c r="P104" s="67"/>
      <c r="Q104" s="67"/>
      <c r="R104" s="67"/>
      <c r="S104" s="67"/>
      <c r="T104" s="67"/>
      <c r="U104" s="67"/>
      <c r="V104" s="67"/>
    </row>
    <row r="105" spans="1:22" s="2" customFormat="1" ht="15">
      <c r="A105" s="16"/>
      <c r="B105" s="15" t="s">
        <v>2</v>
      </c>
      <c r="C105" s="16"/>
      <c r="D105" s="16"/>
      <c r="E105" s="16"/>
      <c r="F105" s="16"/>
      <c r="G105" s="16"/>
      <c r="H105" s="16"/>
      <c r="I105" s="16"/>
      <c r="J105" s="16"/>
      <c r="K105" s="16"/>
      <c r="L105" s="17"/>
      <c r="M105" s="16"/>
      <c r="N105" s="16"/>
      <c r="O105" s="16"/>
      <c r="P105" s="69"/>
      <c r="Q105" s="69"/>
      <c r="R105" s="69"/>
      <c r="S105" s="69"/>
      <c r="T105" s="69"/>
      <c r="U105" s="69"/>
      <c r="V105" s="69"/>
    </row>
    <row r="106" spans="1:22" s="3" customFormat="1" ht="15">
      <c r="A106" s="87" t="s">
        <v>468</v>
      </c>
      <c r="B106" s="3" t="s">
        <v>3</v>
      </c>
      <c r="C106" s="194"/>
      <c r="D106" s="12"/>
      <c r="E106" s="12"/>
      <c r="F106" s="12"/>
      <c r="G106" s="12"/>
      <c r="H106" s="12"/>
      <c r="I106" s="12"/>
      <c r="L106" s="1"/>
      <c r="O106" s="72"/>
      <c r="P106" s="67">
        <f t="shared" ref="P106:V106" si="32">+SUM(P107:P110)</f>
        <v>3.5670000000000002</v>
      </c>
      <c r="Q106" s="67">
        <f t="shared" si="32"/>
        <v>2.4722499999999998</v>
      </c>
      <c r="R106" s="67">
        <f t="shared" si="32"/>
        <v>2.3645</v>
      </c>
      <c r="S106" s="67">
        <f t="shared" si="32"/>
        <v>2.24275</v>
      </c>
      <c r="T106" s="67">
        <f t="shared" si="32"/>
        <v>2.24275</v>
      </c>
      <c r="U106" s="67">
        <f t="shared" si="32"/>
        <v>2.24275</v>
      </c>
      <c r="V106" s="67">
        <f t="shared" si="32"/>
        <v>2.24275</v>
      </c>
    </row>
    <row r="107" spans="1:22" s="7" customFormat="1">
      <c r="A107" s="144" t="s">
        <v>495</v>
      </c>
      <c r="B107" s="7" t="s">
        <v>4</v>
      </c>
      <c r="C107" s="68">
        <f>0.5+0.727</f>
        <v>1.2269999999999999</v>
      </c>
      <c r="D107" s="68">
        <f>0.5+0.547</f>
        <v>1.0470000000000002</v>
      </c>
      <c r="E107" s="68">
        <f>0.5+0.532</f>
        <v>1.032</v>
      </c>
      <c r="F107" s="68">
        <f>0.5+0.532</f>
        <v>1.032</v>
      </c>
      <c r="G107" s="68">
        <f>0.5+0.592</f>
        <v>1.0920000000000001</v>
      </c>
      <c r="H107" s="68">
        <f>0.5+0.592</f>
        <v>1.0920000000000001</v>
      </c>
      <c r="I107" s="68">
        <f>0.5+0.592</f>
        <v>1.0920000000000001</v>
      </c>
      <c r="J107" s="10">
        <v>100</v>
      </c>
      <c r="K107" s="10">
        <v>6</v>
      </c>
      <c r="L107" s="10" t="s">
        <v>224</v>
      </c>
      <c r="M107" s="10" t="s">
        <v>5</v>
      </c>
      <c r="N107" s="10" t="s">
        <v>59</v>
      </c>
      <c r="O107" s="73">
        <v>0</v>
      </c>
      <c r="P107" s="68">
        <f t="shared" ref="P107:T110" si="33">+$O107/$J107*C107</f>
        <v>0</v>
      </c>
      <c r="Q107" s="68">
        <f t="shared" si="33"/>
        <v>0</v>
      </c>
      <c r="R107" s="68">
        <f t="shared" si="33"/>
        <v>0</v>
      </c>
      <c r="S107" s="68">
        <f t="shared" si="33"/>
        <v>0</v>
      </c>
      <c r="T107" s="68">
        <f t="shared" si="33"/>
        <v>0</v>
      </c>
      <c r="U107" s="68">
        <f t="shared" ref="U107:V107" si="34">+$O107/$J107*H107</f>
        <v>0</v>
      </c>
      <c r="V107" s="68">
        <f t="shared" si="34"/>
        <v>0</v>
      </c>
    </row>
    <row r="108" spans="1:22" s="7" customFormat="1" ht="15" customHeight="1">
      <c r="A108" s="144" t="s">
        <v>495</v>
      </c>
      <c r="B108" s="7" t="s">
        <v>6</v>
      </c>
      <c r="C108" s="68">
        <f>0.756+0.159</f>
        <v>0.91500000000000004</v>
      </c>
      <c r="D108" s="68">
        <f>0.996+0.14</f>
        <v>1.1360000000000001</v>
      </c>
      <c r="E108" s="68">
        <f>0.992+0.14</f>
        <v>1.1320000000000001</v>
      </c>
      <c r="F108" s="68">
        <f>0.956+0.14</f>
        <v>1.0960000000000001</v>
      </c>
      <c r="G108" s="68">
        <f>1.173+0.14</f>
        <v>1.3130000000000002</v>
      </c>
      <c r="H108" s="68">
        <f>0.952+0.14</f>
        <v>1.0920000000000001</v>
      </c>
      <c r="I108" s="68">
        <f>1.172+0.14</f>
        <v>1.3119999999999998</v>
      </c>
      <c r="J108" s="10">
        <v>20</v>
      </c>
      <c r="K108" s="10">
        <v>4</v>
      </c>
      <c r="L108" s="143" t="s">
        <v>435</v>
      </c>
      <c r="M108" s="10" t="s">
        <v>7</v>
      </c>
      <c r="N108" s="10" t="s">
        <v>58</v>
      </c>
      <c r="O108" s="73">
        <v>0</v>
      </c>
      <c r="P108" s="68">
        <f t="shared" si="33"/>
        <v>0</v>
      </c>
      <c r="Q108" s="68">
        <f t="shared" si="33"/>
        <v>0</v>
      </c>
      <c r="R108" s="68">
        <f t="shared" si="33"/>
        <v>0</v>
      </c>
      <c r="S108" s="68">
        <f t="shared" si="33"/>
        <v>0</v>
      </c>
      <c r="T108" s="68">
        <f t="shared" si="33"/>
        <v>0</v>
      </c>
      <c r="U108" s="68">
        <f t="shared" ref="U108:U110" si="35">+$O108/$J108*H108</f>
        <v>0</v>
      </c>
      <c r="V108" s="68">
        <f t="shared" ref="V108:V110" si="36">+$O108/$J108*I108</f>
        <v>0</v>
      </c>
    </row>
    <row r="109" spans="1:22" s="7" customFormat="1">
      <c r="A109" s="144" t="s">
        <v>496</v>
      </c>
      <c r="B109" s="7" t="s">
        <v>8</v>
      </c>
      <c r="C109" s="68">
        <v>3.5670000000000002</v>
      </c>
      <c r="D109" s="68">
        <v>2.4722499999999998</v>
      </c>
      <c r="E109" s="68">
        <v>2.3645</v>
      </c>
      <c r="F109" s="68">
        <v>2.24275</v>
      </c>
      <c r="G109" s="68">
        <v>2.24275</v>
      </c>
      <c r="H109" s="68">
        <v>2.24275</v>
      </c>
      <c r="I109" s="68">
        <v>2.24275</v>
      </c>
      <c r="J109" s="10">
        <v>25</v>
      </c>
      <c r="K109" s="10">
        <v>6</v>
      </c>
      <c r="L109" s="10" t="s">
        <v>224</v>
      </c>
      <c r="M109" s="10" t="s">
        <v>9</v>
      </c>
      <c r="N109" s="10" t="s">
        <v>58</v>
      </c>
      <c r="O109" s="73">
        <v>25</v>
      </c>
      <c r="P109" s="68">
        <f t="shared" si="33"/>
        <v>3.5670000000000002</v>
      </c>
      <c r="Q109" s="68">
        <f t="shared" si="33"/>
        <v>2.4722499999999998</v>
      </c>
      <c r="R109" s="68">
        <f t="shared" si="33"/>
        <v>2.3645</v>
      </c>
      <c r="S109" s="68">
        <f t="shared" si="33"/>
        <v>2.24275</v>
      </c>
      <c r="T109" s="68">
        <f t="shared" si="33"/>
        <v>2.24275</v>
      </c>
      <c r="U109" s="68">
        <f t="shared" si="35"/>
        <v>2.24275</v>
      </c>
      <c r="V109" s="68">
        <f t="shared" si="36"/>
        <v>2.24275</v>
      </c>
    </row>
    <row r="110" spans="1:22" s="7" customFormat="1">
      <c r="A110" s="144" t="s">
        <v>496</v>
      </c>
      <c r="B110" s="7" t="s">
        <v>10</v>
      </c>
      <c r="C110" s="68">
        <v>7.5714499999999996</v>
      </c>
      <c r="D110" s="68">
        <v>7.4372999999999996</v>
      </c>
      <c r="E110" s="68">
        <v>7.06785</v>
      </c>
      <c r="F110" s="68">
        <v>6.7869999999999999</v>
      </c>
      <c r="G110" s="68">
        <v>6.7862499999999999</v>
      </c>
      <c r="H110" s="68">
        <v>6.7862499999999999</v>
      </c>
      <c r="I110" s="68">
        <v>6.7862499999999999</v>
      </c>
      <c r="J110" s="10">
        <v>5</v>
      </c>
      <c r="K110" s="10">
        <v>11</v>
      </c>
      <c r="L110" s="143" t="s">
        <v>88</v>
      </c>
      <c r="M110" s="10" t="s">
        <v>11</v>
      </c>
      <c r="N110" s="10" t="s">
        <v>58</v>
      </c>
      <c r="O110" s="73">
        <v>0</v>
      </c>
      <c r="P110" s="68">
        <f t="shared" si="33"/>
        <v>0</v>
      </c>
      <c r="Q110" s="68">
        <f t="shared" si="33"/>
        <v>0</v>
      </c>
      <c r="R110" s="68">
        <f t="shared" si="33"/>
        <v>0</v>
      </c>
      <c r="S110" s="68">
        <f t="shared" si="33"/>
        <v>0</v>
      </c>
      <c r="T110" s="68">
        <f t="shared" si="33"/>
        <v>0</v>
      </c>
      <c r="U110" s="68">
        <f t="shared" si="35"/>
        <v>0</v>
      </c>
      <c r="V110" s="68">
        <f t="shared" si="36"/>
        <v>0</v>
      </c>
    </row>
    <row r="111" spans="1:22" s="87" customFormat="1" ht="15">
      <c r="A111" s="192" t="s">
        <v>469</v>
      </c>
      <c r="B111" s="149" t="s">
        <v>471</v>
      </c>
      <c r="C111" s="151"/>
      <c r="D111" s="151"/>
      <c r="E111" s="151"/>
      <c r="F111" s="151"/>
      <c r="G111" s="151"/>
      <c r="H111" s="151"/>
      <c r="I111" s="151"/>
      <c r="L111" s="23"/>
      <c r="O111" s="152"/>
      <c r="P111" s="188">
        <f t="shared" ref="P111:V111" si="37">+SUM(P112:P141)</f>
        <v>462.58158571428567</v>
      </c>
      <c r="Q111" s="188">
        <f t="shared" si="37"/>
        <v>433.83829999999989</v>
      </c>
      <c r="R111" s="188">
        <f t="shared" si="37"/>
        <v>437.56209999999999</v>
      </c>
      <c r="S111" s="188">
        <f t="shared" si="37"/>
        <v>421.91499999999996</v>
      </c>
      <c r="T111" s="188">
        <f t="shared" si="37"/>
        <v>425.63109999999995</v>
      </c>
      <c r="U111" s="188">
        <f t="shared" si="37"/>
        <v>430.17849999999987</v>
      </c>
      <c r="V111" s="188">
        <f t="shared" si="37"/>
        <v>430.79829999999993</v>
      </c>
    </row>
    <row r="112" spans="1:22" s="7" customFormat="1">
      <c r="A112" s="7" t="s">
        <v>12</v>
      </c>
      <c r="B112" s="7" t="s">
        <v>65</v>
      </c>
      <c r="C112" s="120">
        <v>0.44800000000000001</v>
      </c>
      <c r="D112" s="120">
        <v>0</v>
      </c>
      <c r="E112" s="120">
        <v>0</v>
      </c>
      <c r="F112" s="120">
        <v>0</v>
      </c>
      <c r="G112" s="120">
        <v>0</v>
      </c>
      <c r="H112" s="120">
        <v>0</v>
      </c>
      <c r="I112" s="120">
        <v>0</v>
      </c>
      <c r="J112" s="7">
        <v>100</v>
      </c>
      <c r="K112" s="7">
        <v>3</v>
      </c>
      <c r="L112" s="7" t="s">
        <v>132</v>
      </c>
      <c r="M112" s="7" t="s">
        <v>13</v>
      </c>
      <c r="N112" s="10" t="s">
        <v>59</v>
      </c>
      <c r="O112" s="73">
        <v>100</v>
      </c>
      <c r="P112" s="68">
        <f t="shared" ref="P112:P134" si="38">+$O112/$J112*C112</f>
        <v>0.44800000000000001</v>
      </c>
      <c r="Q112" s="68">
        <f t="shared" ref="Q112:Q131" si="39">+$O112/$J112*D112</f>
        <v>0</v>
      </c>
      <c r="R112" s="68">
        <f t="shared" ref="R112:R131" si="40">+$O112/$J112*E112</f>
        <v>0</v>
      </c>
      <c r="S112" s="68">
        <f t="shared" ref="S112:S131" si="41">+$O112/$J112*F112</f>
        <v>0</v>
      </c>
      <c r="T112" s="68">
        <f t="shared" ref="T112:T131" si="42">+$O112/$J112*G112</f>
        <v>0</v>
      </c>
      <c r="U112" s="68">
        <f t="shared" ref="U112:U131" si="43">+$O112/$J112*H112</f>
        <v>0</v>
      </c>
      <c r="V112" s="68">
        <f t="shared" ref="V112:V131" si="44">+$O112/$J112*I112</f>
        <v>0</v>
      </c>
    </row>
    <row r="113" spans="1:22" s="7" customFormat="1">
      <c r="A113" s="7" t="s">
        <v>12</v>
      </c>
      <c r="B113" s="7" t="s">
        <v>65</v>
      </c>
      <c r="C113" s="120">
        <f>2.68+0.383</f>
        <v>3.0630000000000002</v>
      </c>
      <c r="D113" s="120">
        <v>3.0190000000000001</v>
      </c>
      <c r="E113" s="120">
        <v>2.5169999999999999</v>
      </c>
      <c r="F113" s="120">
        <v>0</v>
      </c>
      <c r="G113" s="120">
        <v>0</v>
      </c>
      <c r="H113" s="120">
        <v>0</v>
      </c>
      <c r="I113" s="120">
        <v>0</v>
      </c>
      <c r="J113" s="7">
        <v>100</v>
      </c>
      <c r="K113" s="7">
        <v>6</v>
      </c>
      <c r="L113" s="10" t="s">
        <v>224</v>
      </c>
      <c r="M113" s="7" t="s">
        <v>14</v>
      </c>
      <c r="N113" s="10" t="s">
        <v>59</v>
      </c>
      <c r="O113" s="73">
        <v>100</v>
      </c>
      <c r="P113" s="68">
        <f t="shared" si="38"/>
        <v>3.0630000000000002</v>
      </c>
      <c r="Q113" s="68">
        <f t="shared" si="39"/>
        <v>3.0190000000000001</v>
      </c>
      <c r="R113" s="68">
        <f t="shared" si="40"/>
        <v>2.5169999999999999</v>
      </c>
      <c r="S113" s="68">
        <f t="shared" si="41"/>
        <v>0</v>
      </c>
      <c r="T113" s="68">
        <f t="shared" si="42"/>
        <v>0</v>
      </c>
      <c r="U113" s="68">
        <f t="shared" si="43"/>
        <v>0</v>
      </c>
      <c r="V113" s="68">
        <f t="shared" si="44"/>
        <v>0</v>
      </c>
    </row>
    <row r="114" spans="1:22" s="7" customFormat="1">
      <c r="A114" s="7" t="s">
        <v>55</v>
      </c>
      <c r="B114" s="7" t="s">
        <v>333</v>
      </c>
      <c r="C114" s="120">
        <v>19.0197</v>
      </c>
      <c r="D114" s="120">
        <v>30.7791</v>
      </c>
      <c r="E114" s="120">
        <v>28.138500000000001</v>
      </c>
      <c r="F114" s="120">
        <v>26.3826</v>
      </c>
      <c r="G114" s="120">
        <v>25.6005</v>
      </c>
      <c r="H114" s="120">
        <v>26.017199999999999</v>
      </c>
      <c r="I114" s="120">
        <v>26.017199999999999</v>
      </c>
      <c r="J114" s="7">
        <v>90</v>
      </c>
      <c r="K114" s="7">
        <v>6</v>
      </c>
      <c r="L114" s="10" t="s">
        <v>224</v>
      </c>
      <c r="M114" s="7" t="s">
        <v>17</v>
      </c>
      <c r="N114" s="10" t="s">
        <v>59</v>
      </c>
      <c r="O114" s="73">
        <v>90</v>
      </c>
      <c r="P114" s="68">
        <f t="shared" si="38"/>
        <v>19.0197</v>
      </c>
      <c r="Q114" s="68">
        <f t="shared" si="39"/>
        <v>30.7791</v>
      </c>
      <c r="R114" s="68">
        <f t="shared" si="40"/>
        <v>28.138500000000001</v>
      </c>
      <c r="S114" s="68">
        <f t="shared" si="41"/>
        <v>26.3826</v>
      </c>
      <c r="T114" s="68">
        <f t="shared" si="42"/>
        <v>25.6005</v>
      </c>
      <c r="U114" s="68">
        <f t="shared" si="43"/>
        <v>26.017199999999999</v>
      </c>
      <c r="V114" s="68">
        <f t="shared" si="44"/>
        <v>26.017199999999999</v>
      </c>
    </row>
    <row r="115" spans="1:22" s="7" customFormat="1">
      <c r="A115" s="7" t="s">
        <v>16</v>
      </c>
      <c r="B115" s="7" t="s">
        <v>66</v>
      </c>
      <c r="C115" s="120">
        <v>8.5310000000000006</v>
      </c>
      <c r="D115" s="120">
        <v>13.098000000000001</v>
      </c>
      <c r="E115" s="120">
        <v>15.089</v>
      </c>
      <c r="F115" s="120">
        <v>17.808</v>
      </c>
      <c r="G115" s="120">
        <v>17.957999999999998</v>
      </c>
      <c r="H115" s="120">
        <v>17.957999999999998</v>
      </c>
      <c r="I115" s="120">
        <v>17.957999999999998</v>
      </c>
      <c r="J115" s="7">
        <v>100</v>
      </c>
      <c r="K115" s="7">
        <v>6</v>
      </c>
      <c r="L115" s="10" t="s">
        <v>224</v>
      </c>
      <c r="M115" s="7" t="s">
        <v>17</v>
      </c>
      <c r="N115" s="10" t="s">
        <v>59</v>
      </c>
      <c r="O115" s="73">
        <v>100</v>
      </c>
      <c r="P115" s="68">
        <f t="shared" si="38"/>
        <v>8.5310000000000006</v>
      </c>
      <c r="Q115" s="68">
        <f t="shared" si="39"/>
        <v>13.098000000000001</v>
      </c>
      <c r="R115" s="68">
        <f t="shared" si="40"/>
        <v>15.089</v>
      </c>
      <c r="S115" s="68">
        <f t="shared" si="41"/>
        <v>17.808</v>
      </c>
      <c r="T115" s="68">
        <f t="shared" si="42"/>
        <v>17.957999999999998</v>
      </c>
      <c r="U115" s="68">
        <f t="shared" si="43"/>
        <v>17.957999999999998</v>
      </c>
      <c r="V115" s="68">
        <f t="shared" si="44"/>
        <v>17.957999999999998</v>
      </c>
    </row>
    <row r="116" spans="1:22" s="7" customFormat="1">
      <c r="A116" s="7" t="s">
        <v>18</v>
      </c>
      <c r="B116" s="7" t="s">
        <v>68</v>
      </c>
      <c r="C116" s="120">
        <v>0.25</v>
      </c>
      <c r="D116" s="120">
        <v>0.253</v>
      </c>
      <c r="E116" s="120">
        <v>0.253</v>
      </c>
      <c r="F116" s="120">
        <v>0.253</v>
      </c>
      <c r="G116" s="120">
        <v>0.253</v>
      </c>
      <c r="H116" s="120">
        <v>0.253</v>
      </c>
      <c r="I116" s="120">
        <v>0.253</v>
      </c>
      <c r="J116" s="7">
        <v>100</v>
      </c>
      <c r="K116" s="7">
        <v>4</v>
      </c>
      <c r="L116" s="143" t="s">
        <v>435</v>
      </c>
      <c r="M116" s="7" t="s">
        <v>19</v>
      </c>
      <c r="N116" s="7" t="s">
        <v>58</v>
      </c>
      <c r="O116" s="7">
        <v>100</v>
      </c>
      <c r="P116" s="68">
        <f t="shared" si="38"/>
        <v>0.25</v>
      </c>
      <c r="Q116" s="68">
        <f t="shared" si="39"/>
        <v>0.253</v>
      </c>
      <c r="R116" s="68">
        <f t="shared" si="40"/>
        <v>0.253</v>
      </c>
      <c r="S116" s="68">
        <f t="shared" si="41"/>
        <v>0.253</v>
      </c>
      <c r="T116" s="68">
        <f t="shared" si="42"/>
        <v>0.253</v>
      </c>
      <c r="U116" s="68">
        <f t="shared" si="43"/>
        <v>0.253</v>
      </c>
      <c r="V116" s="68">
        <f t="shared" si="44"/>
        <v>0.253</v>
      </c>
    </row>
    <row r="117" spans="1:22" s="7" customFormat="1">
      <c r="A117" s="7" t="s">
        <v>18</v>
      </c>
      <c r="B117" s="7" t="s">
        <v>67</v>
      </c>
      <c r="C117" s="120">
        <f>6.456+0.899+0.889+0.256</f>
        <v>8.5</v>
      </c>
      <c r="D117" s="120">
        <f>2.251+0.1</f>
        <v>2.351</v>
      </c>
      <c r="E117" s="120">
        <f>2.465</f>
        <v>2.4649999999999999</v>
      </c>
      <c r="F117" s="120">
        <f>0.494</f>
        <v>0.49399999999999999</v>
      </c>
      <c r="G117" s="120">
        <f>0.494</f>
        <v>0.49399999999999999</v>
      </c>
      <c r="H117" s="120">
        <f>0.494</f>
        <v>0.49399999999999999</v>
      </c>
      <c r="I117" s="120">
        <f>0.494</f>
        <v>0.49399999999999999</v>
      </c>
      <c r="J117" s="7">
        <v>100</v>
      </c>
      <c r="K117" s="7">
        <v>6</v>
      </c>
      <c r="L117" s="10" t="s">
        <v>224</v>
      </c>
      <c r="M117" s="7" t="s">
        <v>21</v>
      </c>
      <c r="N117" s="10" t="s">
        <v>59</v>
      </c>
      <c r="O117" s="7">
        <v>100</v>
      </c>
      <c r="P117" s="68">
        <f t="shared" si="38"/>
        <v>8.5</v>
      </c>
      <c r="Q117" s="68">
        <f t="shared" si="39"/>
        <v>2.351</v>
      </c>
      <c r="R117" s="68">
        <f t="shared" si="40"/>
        <v>2.4649999999999999</v>
      </c>
      <c r="S117" s="68">
        <f t="shared" si="41"/>
        <v>0.49399999999999999</v>
      </c>
      <c r="T117" s="68">
        <f t="shared" si="42"/>
        <v>0.49399999999999999</v>
      </c>
      <c r="U117" s="68">
        <f t="shared" si="43"/>
        <v>0.49399999999999999</v>
      </c>
      <c r="V117" s="68">
        <f t="shared" si="44"/>
        <v>0.49399999999999999</v>
      </c>
    </row>
    <row r="118" spans="1:22" s="7" customFormat="1">
      <c r="A118" s="7" t="s">
        <v>18</v>
      </c>
      <c r="B118" s="7" t="s">
        <v>67</v>
      </c>
      <c r="C118" s="120">
        <v>2.41</v>
      </c>
      <c r="D118" s="120">
        <v>2.3159999999999998</v>
      </c>
      <c r="E118" s="120">
        <v>1.206</v>
      </c>
      <c r="F118" s="120">
        <v>0</v>
      </c>
      <c r="G118" s="120">
        <v>0</v>
      </c>
      <c r="H118" s="120">
        <v>0</v>
      </c>
      <c r="I118" s="120">
        <v>0</v>
      </c>
      <c r="J118" s="7">
        <v>80</v>
      </c>
      <c r="K118" s="7">
        <v>6</v>
      </c>
      <c r="L118" s="10" t="s">
        <v>224</v>
      </c>
      <c r="M118" s="7" t="s">
        <v>14</v>
      </c>
      <c r="N118" s="10" t="s">
        <v>59</v>
      </c>
      <c r="O118" s="7">
        <v>80</v>
      </c>
      <c r="P118" s="68">
        <f t="shared" si="38"/>
        <v>2.41</v>
      </c>
      <c r="Q118" s="68">
        <f t="shared" ref="Q118" si="45">+$O118/$J118*D118</f>
        <v>2.3159999999999998</v>
      </c>
      <c r="R118" s="68">
        <f t="shared" ref="R118" si="46">+$O118/$J118*E118</f>
        <v>1.206</v>
      </c>
      <c r="S118" s="68">
        <f t="shared" ref="S118" si="47">+$O118/$J118*F118</f>
        <v>0</v>
      </c>
      <c r="T118" s="68">
        <f t="shared" ref="T118" si="48">+$O118/$J118*G118</f>
        <v>0</v>
      </c>
      <c r="U118" s="68">
        <f t="shared" ref="U118" si="49">+$O118/$J118*H118</f>
        <v>0</v>
      </c>
      <c r="V118" s="68">
        <f t="shared" ref="V118" si="50">+$O118/$J118*I118</f>
        <v>0</v>
      </c>
    </row>
    <row r="119" spans="1:22" s="7" customFormat="1">
      <c r="A119" s="7" t="s">
        <v>18</v>
      </c>
      <c r="B119" s="7" t="s">
        <v>69</v>
      </c>
      <c r="C119" s="120">
        <v>0.217</v>
      </c>
      <c r="D119" s="120">
        <v>0.18099999999999999</v>
      </c>
      <c r="E119" s="120">
        <v>0.17199999999999999</v>
      </c>
      <c r="F119" s="120">
        <v>0.16300000000000001</v>
      </c>
      <c r="G119" s="120">
        <v>0.154</v>
      </c>
      <c r="H119" s="120">
        <v>0.154</v>
      </c>
      <c r="I119" s="120">
        <v>0.154</v>
      </c>
      <c r="J119" s="7">
        <v>100</v>
      </c>
      <c r="K119" s="7">
        <v>11</v>
      </c>
      <c r="L119" s="143" t="s">
        <v>88</v>
      </c>
      <c r="M119" s="7" t="s">
        <v>9</v>
      </c>
      <c r="N119" s="10" t="s">
        <v>58</v>
      </c>
      <c r="O119" s="7">
        <v>100</v>
      </c>
      <c r="P119" s="68">
        <f t="shared" si="38"/>
        <v>0.217</v>
      </c>
      <c r="Q119" s="68">
        <f t="shared" si="39"/>
        <v>0.18099999999999999</v>
      </c>
      <c r="R119" s="68">
        <f t="shared" si="40"/>
        <v>0.17199999999999999</v>
      </c>
      <c r="S119" s="68">
        <f t="shared" si="41"/>
        <v>0.16300000000000001</v>
      </c>
      <c r="T119" s="68">
        <f t="shared" si="42"/>
        <v>0.154</v>
      </c>
      <c r="U119" s="68">
        <f t="shared" si="43"/>
        <v>0.154</v>
      </c>
      <c r="V119" s="68">
        <f t="shared" si="44"/>
        <v>0.154</v>
      </c>
    </row>
    <row r="120" spans="1:22" s="7" customFormat="1">
      <c r="A120" s="7" t="s">
        <v>18</v>
      </c>
      <c r="B120" s="7" t="s">
        <v>70</v>
      </c>
      <c r="C120" s="120">
        <v>121.747</v>
      </c>
      <c r="D120" s="120">
        <v>137.95400000000001</v>
      </c>
      <c r="E120" s="120">
        <v>131.36099999999999</v>
      </c>
      <c r="F120" s="120">
        <v>125.444</v>
      </c>
      <c r="G120" s="120">
        <v>125.444</v>
      </c>
      <c r="H120" s="120">
        <v>125.444</v>
      </c>
      <c r="I120" s="120">
        <v>125.444</v>
      </c>
      <c r="J120" s="7">
        <v>100</v>
      </c>
      <c r="K120" s="7">
        <v>6</v>
      </c>
      <c r="L120" s="10" t="s">
        <v>224</v>
      </c>
      <c r="M120" s="7" t="s">
        <v>22</v>
      </c>
      <c r="N120" s="7" t="s">
        <v>58</v>
      </c>
      <c r="O120" s="7">
        <v>100</v>
      </c>
      <c r="P120" s="68">
        <f t="shared" si="38"/>
        <v>121.747</v>
      </c>
      <c r="Q120" s="68">
        <f t="shared" si="39"/>
        <v>137.95400000000001</v>
      </c>
      <c r="R120" s="68">
        <f t="shared" si="40"/>
        <v>131.36099999999999</v>
      </c>
      <c r="S120" s="68">
        <f t="shared" si="41"/>
        <v>125.444</v>
      </c>
      <c r="T120" s="68">
        <f t="shared" si="42"/>
        <v>125.444</v>
      </c>
      <c r="U120" s="68">
        <f t="shared" si="43"/>
        <v>125.444</v>
      </c>
      <c r="V120" s="68">
        <f t="shared" si="44"/>
        <v>125.444</v>
      </c>
    </row>
    <row r="121" spans="1:22" s="7" customFormat="1">
      <c r="A121" s="7" t="s">
        <v>23</v>
      </c>
      <c r="B121" s="7" t="s">
        <v>71</v>
      </c>
      <c r="C121" s="120">
        <v>17.018999999999998</v>
      </c>
      <c r="D121" s="120">
        <v>23.724</v>
      </c>
      <c r="E121" s="120">
        <v>33.771000000000001</v>
      </c>
      <c r="F121" s="120">
        <v>39.798999999999999</v>
      </c>
      <c r="G121" s="120">
        <v>39.798999999999999</v>
      </c>
      <c r="H121" s="120">
        <v>39.798999999999999</v>
      </c>
      <c r="I121" s="120">
        <v>39.798999999999999</v>
      </c>
      <c r="J121" s="7">
        <v>100</v>
      </c>
      <c r="K121" s="7">
        <v>6</v>
      </c>
      <c r="L121" s="10" t="s">
        <v>224</v>
      </c>
      <c r="M121" s="7" t="s">
        <v>17</v>
      </c>
      <c r="N121" s="10" t="s">
        <v>59</v>
      </c>
      <c r="O121" s="7">
        <v>100</v>
      </c>
      <c r="P121" s="68">
        <f t="shared" si="38"/>
        <v>17.018999999999998</v>
      </c>
      <c r="Q121" s="68">
        <f t="shared" si="39"/>
        <v>23.724</v>
      </c>
      <c r="R121" s="68">
        <f t="shared" si="40"/>
        <v>33.771000000000001</v>
      </c>
      <c r="S121" s="68">
        <f t="shared" si="41"/>
        <v>39.798999999999999</v>
      </c>
      <c r="T121" s="68">
        <f t="shared" si="42"/>
        <v>39.798999999999999</v>
      </c>
      <c r="U121" s="68">
        <f t="shared" si="43"/>
        <v>39.798999999999999</v>
      </c>
      <c r="V121" s="68">
        <f t="shared" si="44"/>
        <v>39.798999999999999</v>
      </c>
    </row>
    <row r="122" spans="1:22" s="7" customFormat="1">
      <c r="A122" s="7" t="s">
        <v>23</v>
      </c>
      <c r="B122" s="7" t="s">
        <v>72</v>
      </c>
      <c r="C122" s="120">
        <f>1.054+45.566+8.018</f>
        <v>54.638000000000005</v>
      </c>
      <c r="D122" s="120">
        <f>2.334+66.749+6.755</f>
        <v>75.837999999999994</v>
      </c>
      <c r="E122" s="120">
        <f>3.026+94.944+1.426</f>
        <v>99.396000000000001</v>
      </c>
      <c r="F122" s="120">
        <f>4.008+102.234+0.301</f>
        <v>106.54299999999999</v>
      </c>
      <c r="G122" s="120">
        <f>4.008+109.806</f>
        <v>113.81399999999999</v>
      </c>
      <c r="H122" s="120">
        <f>4.008+114.816</f>
        <v>118.824</v>
      </c>
      <c r="I122" s="120">
        <f>4.008+114.816</f>
        <v>118.824</v>
      </c>
      <c r="J122" s="7">
        <v>100</v>
      </c>
      <c r="K122" s="73" t="s">
        <v>20</v>
      </c>
      <c r="M122" s="7" t="s">
        <v>17</v>
      </c>
      <c r="N122" s="10" t="s">
        <v>59</v>
      </c>
      <c r="O122" s="7">
        <v>100</v>
      </c>
      <c r="P122" s="68">
        <f t="shared" si="38"/>
        <v>54.638000000000005</v>
      </c>
      <c r="Q122" s="68">
        <f t="shared" si="39"/>
        <v>75.837999999999994</v>
      </c>
      <c r="R122" s="68">
        <f t="shared" si="40"/>
        <v>99.396000000000001</v>
      </c>
      <c r="S122" s="68">
        <f t="shared" si="41"/>
        <v>106.54299999999999</v>
      </c>
      <c r="T122" s="68">
        <f t="shared" si="42"/>
        <v>113.81399999999999</v>
      </c>
      <c r="U122" s="68">
        <f t="shared" si="43"/>
        <v>118.824</v>
      </c>
      <c r="V122" s="68">
        <f t="shared" si="44"/>
        <v>118.824</v>
      </c>
    </row>
    <row r="123" spans="1:22" s="7" customFormat="1">
      <c r="A123" s="7" t="s">
        <v>24</v>
      </c>
      <c r="B123" s="7" t="s">
        <v>73</v>
      </c>
      <c r="C123" s="120">
        <v>4.3090000000000002</v>
      </c>
      <c r="D123" s="120">
        <v>3.8370000000000002</v>
      </c>
      <c r="E123" s="120">
        <v>3.27</v>
      </c>
      <c r="F123" s="120">
        <v>3.2509999999999999</v>
      </c>
      <c r="G123" s="120">
        <v>3.2509999999999999</v>
      </c>
      <c r="H123" s="120">
        <v>3.2509999999999999</v>
      </c>
      <c r="I123" s="120">
        <v>3.2509999999999999</v>
      </c>
      <c r="J123" s="7">
        <v>100</v>
      </c>
      <c r="K123" s="7">
        <v>4</v>
      </c>
      <c r="L123" s="143" t="s">
        <v>435</v>
      </c>
      <c r="M123" s="7" t="s">
        <v>9</v>
      </c>
      <c r="N123" s="7" t="s">
        <v>58</v>
      </c>
      <c r="O123" s="7">
        <v>100</v>
      </c>
      <c r="P123" s="68">
        <f t="shared" si="38"/>
        <v>4.3090000000000002</v>
      </c>
      <c r="Q123" s="68">
        <f t="shared" si="39"/>
        <v>3.8370000000000002</v>
      </c>
      <c r="R123" s="68">
        <f t="shared" si="40"/>
        <v>3.27</v>
      </c>
      <c r="S123" s="68">
        <f t="shared" si="41"/>
        <v>3.2509999999999999</v>
      </c>
      <c r="T123" s="68">
        <f t="shared" si="42"/>
        <v>3.2509999999999999</v>
      </c>
      <c r="U123" s="68">
        <f t="shared" si="43"/>
        <v>3.2509999999999999</v>
      </c>
      <c r="V123" s="68">
        <f t="shared" si="44"/>
        <v>3.2509999999999999</v>
      </c>
    </row>
    <row r="124" spans="1:22" s="7" customFormat="1">
      <c r="A124" s="7" t="s">
        <v>24</v>
      </c>
      <c r="B124" s="7" t="s">
        <v>74</v>
      </c>
      <c r="C124" s="120">
        <v>10.877000000000001</v>
      </c>
      <c r="D124" s="120">
        <v>9.5879999999999992</v>
      </c>
      <c r="E124" s="120">
        <v>9.391</v>
      </c>
      <c r="F124" s="120">
        <v>9.3379999999999992</v>
      </c>
      <c r="G124" s="120">
        <v>9.3379999999999992</v>
      </c>
      <c r="H124" s="120">
        <v>9.3379999999999992</v>
      </c>
      <c r="I124" s="120">
        <v>9.3379999999999992</v>
      </c>
      <c r="J124" s="7">
        <v>100</v>
      </c>
      <c r="K124" s="7">
        <v>4</v>
      </c>
      <c r="L124" s="143" t="s">
        <v>435</v>
      </c>
      <c r="M124" s="7" t="s">
        <v>9</v>
      </c>
      <c r="N124" s="7" t="s">
        <v>58</v>
      </c>
      <c r="O124" s="7">
        <v>100</v>
      </c>
      <c r="P124" s="68">
        <f t="shared" si="38"/>
        <v>10.877000000000001</v>
      </c>
      <c r="Q124" s="68">
        <f t="shared" si="39"/>
        <v>9.5879999999999992</v>
      </c>
      <c r="R124" s="68">
        <f t="shared" si="40"/>
        <v>9.391</v>
      </c>
      <c r="S124" s="68">
        <f t="shared" si="41"/>
        <v>9.3379999999999992</v>
      </c>
      <c r="T124" s="68">
        <f t="shared" si="42"/>
        <v>9.3379999999999992</v>
      </c>
      <c r="U124" s="68">
        <f t="shared" si="43"/>
        <v>9.3379999999999992</v>
      </c>
      <c r="V124" s="68">
        <f t="shared" si="44"/>
        <v>9.3379999999999992</v>
      </c>
    </row>
    <row r="125" spans="1:22" s="7" customFormat="1">
      <c r="A125" s="7" t="s">
        <v>24</v>
      </c>
      <c r="B125" s="7" t="s">
        <v>75</v>
      </c>
      <c r="C125" s="120">
        <v>29.402999999999999</v>
      </c>
      <c r="D125" s="120">
        <v>20.201000000000001</v>
      </c>
      <c r="E125" s="120">
        <v>19.084</v>
      </c>
      <c r="F125" s="120">
        <v>18.241</v>
      </c>
      <c r="G125" s="120">
        <v>18.241</v>
      </c>
      <c r="H125" s="120">
        <v>18.241</v>
      </c>
      <c r="I125" s="120">
        <v>18.241</v>
      </c>
      <c r="J125" s="7">
        <v>100</v>
      </c>
      <c r="K125" s="7">
        <v>3</v>
      </c>
      <c r="L125" s="7" t="s">
        <v>132</v>
      </c>
      <c r="M125" s="7" t="s">
        <v>9</v>
      </c>
      <c r="N125" s="10" t="s">
        <v>58</v>
      </c>
      <c r="O125" s="7">
        <v>100</v>
      </c>
      <c r="P125" s="68">
        <f t="shared" si="38"/>
        <v>29.402999999999999</v>
      </c>
      <c r="Q125" s="68">
        <f t="shared" si="39"/>
        <v>20.201000000000001</v>
      </c>
      <c r="R125" s="68">
        <f t="shared" si="40"/>
        <v>19.084</v>
      </c>
      <c r="S125" s="68">
        <f t="shared" si="41"/>
        <v>18.241</v>
      </c>
      <c r="T125" s="68">
        <f t="shared" si="42"/>
        <v>18.241</v>
      </c>
      <c r="U125" s="68">
        <f t="shared" si="43"/>
        <v>18.241</v>
      </c>
      <c r="V125" s="68">
        <f t="shared" si="44"/>
        <v>18.241</v>
      </c>
    </row>
    <row r="126" spans="1:22" s="7" customFormat="1">
      <c r="A126" s="7" t="s">
        <v>25</v>
      </c>
      <c r="B126" s="7" t="s">
        <v>76</v>
      </c>
      <c r="C126" s="120">
        <v>20.776</v>
      </c>
      <c r="D126" s="120">
        <v>21.206</v>
      </c>
      <c r="E126" s="120">
        <v>20.225999999999999</v>
      </c>
      <c r="F126" s="120">
        <v>24.504000000000001</v>
      </c>
      <c r="G126" s="120">
        <v>22.943000000000001</v>
      </c>
      <c r="H126" s="120">
        <v>23.343</v>
      </c>
      <c r="I126" s="120">
        <v>24.042999999999999</v>
      </c>
      <c r="J126" s="7">
        <v>100</v>
      </c>
      <c r="K126" s="7">
        <v>6</v>
      </c>
      <c r="L126" s="10" t="s">
        <v>224</v>
      </c>
      <c r="M126" s="7" t="s">
        <v>26</v>
      </c>
      <c r="N126" s="10" t="s">
        <v>58</v>
      </c>
      <c r="O126" s="7">
        <v>100</v>
      </c>
      <c r="P126" s="68">
        <f t="shared" si="38"/>
        <v>20.776</v>
      </c>
      <c r="Q126" s="68">
        <f t="shared" si="39"/>
        <v>21.206</v>
      </c>
      <c r="R126" s="68">
        <f t="shared" si="40"/>
        <v>20.225999999999999</v>
      </c>
      <c r="S126" s="68">
        <f t="shared" si="41"/>
        <v>24.504000000000001</v>
      </c>
      <c r="T126" s="68">
        <f t="shared" si="42"/>
        <v>22.943000000000001</v>
      </c>
      <c r="U126" s="68">
        <f t="shared" si="43"/>
        <v>23.343</v>
      </c>
      <c r="V126" s="68">
        <f t="shared" si="44"/>
        <v>24.042999999999999</v>
      </c>
    </row>
    <row r="127" spans="1:22" s="7" customFormat="1">
      <c r="A127" s="7" t="s">
        <v>25</v>
      </c>
      <c r="B127" s="7" t="s">
        <v>347</v>
      </c>
      <c r="C127" s="120">
        <v>0</v>
      </c>
      <c r="D127" s="120">
        <v>0.60099999999999998</v>
      </c>
      <c r="E127" s="120">
        <v>0</v>
      </c>
      <c r="F127" s="120">
        <v>0</v>
      </c>
      <c r="G127" s="120">
        <v>1E-3</v>
      </c>
      <c r="H127" s="120">
        <v>8.0000000000000002E-3</v>
      </c>
      <c r="I127" s="120">
        <v>8.0000000000000002E-3</v>
      </c>
      <c r="J127" s="7">
        <v>100</v>
      </c>
      <c r="K127" s="7">
        <v>6.13</v>
      </c>
      <c r="M127" s="7" t="s">
        <v>27</v>
      </c>
      <c r="N127" s="10" t="s">
        <v>58</v>
      </c>
      <c r="O127" s="7">
        <v>100</v>
      </c>
      <c r="P127" s="68">
        <f t="shared" si="38"/>
        <v>0</v>
      </c>
      <c r="Q127" s="68">
        <f t="shared" si="39"/>
        <v>0.60099999999999998</v>
      </c>
      <c r="R127" s="68">
        <f t="shared" si="40"/>
        <v>0</v>
      </c>
      <c r="S127" s="68">
        <f t="shared" si="41"/>
        <v>0</v>
      </c>
      <c r="T127" s="68">
        <f t="shared" si="42"/>
        <v>1E-3</v>
      </c>
      <c r="U127" s="68">
        <f t="shared" si="43"/>
        <v>8.0000000000000002E-3</v>
      </c>
      <c r="V127" s="68">
        <f t="shared" si="44"/>
        <v>8.0000000000000002E-3</v>
      </c>
    </row>
    <row r="128" spans="1:22" s="7" customFormat="1">
      <c r="A128" s="7" t="s">
        <v>25</v>
      </c>
      <c r="B128" s="7" t="s">
        <v>339</v>
      </c>
      <c r="C128" s="120">
        <v>6.5250000000000004</v>
      </c>
      <c r="D128" s="120">
        <v>2.1930000000000001</v>
      </c>
      <c r="E128" s="120">
        <v>0</v>
      </c>
      <c r="F128" s="120">
        <v>0</v>
      </c>
      <c r="G128" s="120">
        <v>0</v>
      </c>
      <c r="H128" s="120">
        <v>0</v>
      </c>
      <c r="I128" s="120">
        <v>0</v>
      </c>
      <c r="J128" s="7">
        <v>100</v>
      </c>
      <c r="K128" s="7">
        <v>6</v>
      </c>
      <c r="L128" s="10" t="s">
        <v>224</v>
      </c>
      <c r="M128" s="7" t="s">
        <v>9</v>
      </c>
      <c r="N128" s="10" t="s">
        <v>58</v>
      </c>
      <c r="O128" s="7">
        <v>100</v>
      </c>
      <c r="P128" s="68">
        <f t="shared" si="38"/>
        <v>6.5250000000000004</v>
      </c>
      <c r="Q128" s="68">
        <f t="shared" si="39"/>
        <v>2.1930000000000001</v>
      </c>
      <c r="R128" s="68">
        <f t="shared" si="40"/>
        <v>0</v>
      </c>
      <c r="S128" s="68">
        <f t="shared" si="41"/>
        <v>0</v>
      </c>
      <c r="T128" s="68">
        <f t="shared" si="42"/>
        <v>0</v>
      </c>
      <c r="U128" s="68">
        <f t="shared" si="43"/>
        <v>0</v>
      </c>
      <c r="V128" s="68">
        <f t="shared" si="44"/>
        <v>0</v>
      </c>
    </row>
    <row r="129" spans="1:22" s="7" customFormat="1">
      <c r="A129" s="7" t="s">
        <v>25</v>
      </c>
      <c r="B129" s="7" t="s">
        <v>337</v>
      </c>
      <c r="C129" s="120">
        <v>4.4779999999999998</v>
      </c>
      <c r="D129" s="120">
        <v>1.28</v>
      </c>
      <c r="E129" s="120">
        <v>0.93100000000000005</v>
      </c>
      <c r="F129" s="120">
        <v>0</v>
      </c>
      <c r="G129" s="120">
        <v>0</v>
      </c>
      <c r="H129" s="120">
        <v>0</v>
      </c>
      <c r="I129" s="120">
        <v>0</v>
      </c>
      <c r="J129" s="7">
        <v>100</v>
      </c>
      <c r="K129" s="7">
        <v>4</v>
      </c>
      <c r="L129" s="143" t="s">
        <v>435</v>
      </c>
      <c r="M129" s="7" t="s">
        <v>9</v>
      </c>
      <c r="N129" s="10" t="s">
        <v>59</v>
      </c>
      <c r="O129" s="7">
        <v>100</v>
      </c>
      <c r="P129" s="68">
        <f t="shared" si="38"/>
        <v>4.4779999999999998</v>
      </c>
      <c r="Q129" s="68">
        <f t="shared" si="39"/>
        <v>1.28</v>
      </c>
      <c r="R129" s="68">
        <f t="shared" si="40"/>
        <v>0.93100000000000005</v>
      </c>
      <c r="S129" s="68">
        <f t="shared" si="41"/>
        <v>0</v>
      </c>
      <c r="T129" s="68">
        <f t="shared" si="42"/>
        <v>0</v>
      </c>
      <c r="U129" s="68">
        <f t="shared" si="43"/>
        <v>0</v>
      </c>
      <c r="V129" s="68">
        <f t="shared" si="44"/>
        <v>0</v>
      </c>
    </row>
    <row r="130" spans="1:22" s="7" customFormat="1">
      <c r="A130" s="7" t="s">
        <v>25</v>
      </c>
      <c r="B130" s="7" t="s">
        <v>77</v>
      </c>
      <c r="C130" s="120">
        <f>2.407+0.244+0.486+2.452+26+9.362+3.5+20.29+0.261+0.118+12.722+0.125+11.75+0.525+0.307+1.05</f>
        <v>91.59899999999999</v>
      </c>
      <c r="D130" s="120">
        <f>0.317+0.261+4.699+1.236+0.925+13.544+0.082+0.205+0.009+7.376+0.741</f>
        <v>29.395</v>
      </c>
      <c r="E130" s="120">
        <f>0.073+8.678+1.605+6.177+0.023+0.086</f>
        <v>16.641999999999999</v>
      </c>
      <c r="F130" s="120">
        <f>0.075+0.009</f>
        <v>8.3999999999999991E-2</v>
      </c>
      <c r="G130" s="120">
        <f>0.138+0.01</f>
        <v>0.14800000000000002</v>
      </c>
      <c r="H130" s="120">
        <f>0.163+0.01</f>
        <v>0.17300000000000001</v>
      </c>
      <c r="I130" s="120">
        <f>0.063+0.01</f>
        <v>7.2999999999999995E-2</v>
      </c>
      <c r="J130" s="7">
        <v>100</v>
      </c>
      <c r="K130" s="7">
        <v>6</v>
      </c>
      <c r="L130" s="10" t="s">
        <v>224</v>
      </c>
      <c r="M130" s="7" t="s">
        <v>20</v>
      </c>
      <c r="N130" s="10" t="s">
        <v>59</v>
      </c>
      <c r="O130" s="7">
        <v>100</v>
      </c>
      <c r="P130" s="68">
        <f t="shared" si="38"/>
        <v>91.59899999999999</v>
      </c>
      <c r="Q130" s="68">
        <f t="shared" si="39"/>
        <v>29.395</v>
      </c>
      <c r="R130" s="68">
        <f t="shared" si="40"/>
        <v>16.641999999999999</v>
      </c>
      <c r="S130" s="68">
        <f t="shared" si="41"/>
        <v>8.3999999999999991E-2</v>
      </c>
      <c r="T130" s="68">
        <f t="shared" si="42"/>
        <v>0.14800000000000002</v>
      </c>
      <c r="U130" s="68">
        <f t="shared" si="43"/>
        <v>0.17300000000000001</v>
      </c>
      <c r="V130" s="68">
        <f t="shared" si="44"/>
        <v>7.2999999999999995E-2</v>
      </c>
    </row>
    <row r="131" spans="1:22" s="7" customFormat="1">
      <c r="A131" s="7" t="s">
        <v>25</v>
      </c>
      <c r="B131" s="7" t="s">
        <v>338</v>
      </c>
      <c r="C131" s="120">
        <v>0.27139999999999997</v>
      </c>
      <c r="D131" s="120">
        <v>0.18240000000000001</v>
      </c>
      <c r="E131" s="120">
        <v>4.8000000000000001E-2</v>
      </c>
      <c r="F131" s="120">
        <v>0</v>
      </c>
      <c r="G131" s="120">
        <v>0</v>
      </c>
      <c r="H131" s="120">
        <v>0</v>
      </c>
      <c r="I131" s="120">
        <v>0</v>
      </c>
      <c r="J131" s="7">
        <v>20</v>
      </c>
      <c r="K131" s="7">
        <v>10</v>
      </c>
      <c r="L131" s="143" t="s">
        <v>98</v>
      </c>
      <c r="M131" s="7" t="s">
        <v>29</v>
      </c>
      <c r="N131" s="10" t="s">
        <v>59</v>
      </c>
      <c r="O131" s="73">
        <v>100</v>
      </c>
      <c r="P131" s="68">
        <f t="shared" si="38"/>
        <v>1.3569999999999998</v>
      </c>
      <c r="Q131" s="68">
        <f t="shared" si="39"/>
        <v>0.91200000000000003</v>
      </c>
      <c r="R131" s="68">
        <f t="shared" si="40"/>
        <v>0.24</v>
      </c>
      <c r="S131" s="68">
        <f t="shared" si="41"/>
        <v>0</v>
      </c>
      <c r="T131" s="68">
        <f t="shared" si="42"/>
        <v>0</v>
      </c>
      <c r="U131" s="68">
        <f t="shared" si="43"/>
        <v>0</v>
      </c>
      <c r="V131" s="68">
        <f t="shared" si="44"/>
        <v>0</v>
      </c>
    </row>
    <row r="132" spans="1:22" s="7" customFormat="1">
      <c r="A132" s="7" t="s">
        <v>25</v>
      </c>
      <c r="B132" s="7" t="s">
        <v>389</v>
      </c>
      <c r="C132" s="120">
        <v>1.111</v>
      </c>
      <c r="D132" s="120">
        <v>4.7480000000000002</v>
      </c>
      <c r="E132" s="120">
        <v>1.7769999999999999</v>
      </c>
      <c r="F132" s="120">
        <v>1.8280000000000001</v>
      </c>
      <c r="G132" s="120">
        <v>1.367</v>
      </c>
      <c r="H132" s="120">
        <v>0.75600000000000001</v>
      </c>
      <c r="I132" s="120">
        <v>0.48099999999999998</v>
      </c>
      <c r="J132" s="7">
        <v>100</v>
      </c>
      <c r="K132" s="73" t="s">
        <v>390</v>
      </c>
      <c r="L132" s="143"/>
      <c r="M132" s="7" t="s">
        <v>26</v>
      </c>
      <c r="N132" s="10" t="s">
        <v>59</v>
      </c>
      <c r="O132" s="73">
        <v>100</v>
      </c>
      <c r="P132" s="68">
        <f t="shared" si="38"/>
        <v>1.111</v>
      </c>
      <c r="Q132" s="68">
        <f t="shared" ref="Q132:Q134" si="51">+$O132/$J132*D132</f>
        <v>4.7480000000000002</v>
      </c>
      <c r="R132" s="68">
        <f t="shared" ref="R132:R134" si="52">+$O132/$J132*E132</f>
        <v>1.7769999999999999</v>
      </c>
      <c r="S132" s="68">
        <f t="shared" ref="S132:S134" si="53">+$O132/$J132*F132</f>
        <v>1.8280000000000001</v>
      </c>
      <c r="T132" s="68">
        <f t="shared" ref="T132:T134" si="54">+$O132/$J132*G132</f>
        <v>1.367</v>
      </c>
      <c r="U132" s="68">
        <f t="shared" ref="U132:U134" si="55">+$O132/$J132*H132</f>
        <v>0.75600000000000001</v>
      </c>
      <c r="V132" s="68">
        <f t="shared" ref="V132:V134" si="56">+$O132/$J132*I132</f>
        <v>0.48099999999999998</v>
      </c>
    </row>
    <row r="133" spans="1:22" s="7" customFormat="1">
      <c r="A133" s="7" t="s">
        <v>335</v>
      </c>
      <c r="B133" s="7" t="s">
        <v>78</v>
      </c>
      <c r="C133" s="120">
        <f>0.003+8.71+55.269</f>
        <v>63.981999999999999</v>
      </c>
      <c r="D133" s="120">
        <f>0.073+7.293+70.596</f>
        <v>77.962000000000003</v>
      </c>
      <c r="E133" s="120">
        <f>0.076+3.912+60.778</f>
        <v>64.766000000000005</v>
      </c>
      <c r="F133" s="120">
        <f>13.058+2.394+51.165</f>
        <v>66.617000000000004</v>
      </c>
      <c r="G133" s="120">
        <f>13.063+0.341+53.213</f>
        <v>66.617000000000004</v>
      </c>
      <c r="H133" s="120">
        <f>42.06+0.34+24.362</f>
        <v>66.762</v>
      </c>
      <c r="I133" s="120">
        <f>42.06+0.005+24.362</f>
        <v>66.427000000000007</v>
      </c>
      <c r="J133" s="7">
        <v>100</v>
      </c>
      <c r="K133" s="7">
        <v>3</v>
      </c>
      <c r="L133" s="7" t="s">
        <v>132</v>
      </c>
      <c r="M133" s="7" t="s">
        <v>13</v>
      </c>
      <c r="N133" s="10" t="s">
        <v>59</v>
      </c>
      <c r="O133" s="73">
        <v>50</v>
      </c>
      <c r="P133" s="68">
        <f t="shared" si="38"/>
        <v>31.991</v>
      </c>
      <c r="Q133" s="68">
        <f t="shared" si="51"/>
        <v>38.981000000000002</v>
      </c>
      <c r="R133" s="68">
        <f t="shared" si="52"/>
        <v>32.383000000000003</v>
      </c>
      <c r="S133" s="68">
        <f t="shared" si="53"/>
        <v>33.308500000000002</v>
      </c>
      <c r="T133" s="68">
        <f t="shared" si="54"/>
        <v>33.308500000000002</v>
      </c>
      <c r="U133" s="68">
        <f t="shared" si="55"/>
        <v>33.381</v>
      </c>
      <c r="V133" s="68">
        <f t="shared" si="56"/>
        <v>33.213500000000003</v>
      </c>
    </row>
    <row r="134" spans="1:22" s="7" customFormat="1">
      <c r="A134" s="7" t="s">
        <v>463</v>
      </c>
      <c r="B134" s="7" t="s">
        <v>464</v>
      </c>
      <c r="C134" s="120">
        <f>0.636+0.314+0.599+1.15+0.97+0.325</f>
        <v>3.9939999999999998</v>
      </c>
      <c r="D134" s="120">
        <f>0.541+0.036+0.626+0.258+0.46</f>
        <v>1.921</v>
      </c>
      <c r="E134" s="120">
        <f>0.648+0.343+0.775+0.262+0.498</f>
        <v>2.5259999999999998</v>
      </c>
      <c r="F134" s="120">
        <f>0.637+0.337+0.652+0.258+0.49</f>
        <v>2.3739999999999997</v>
      </c>
      <c r="G134" s="120">
        <f>0.637+0.337+0.685+0.225+0.49</f>
        <v>2.3740000000000001</v>
      </c>
      <c r="H134" s="120">
        <f>0.637+0.337+0.685+0.225+0.49</f>
        <v>2.3740000000000001</v>
      </c>
      <c r="I134" s="120">
        <f>0.637+0.337+0.685+0.225+0.49</f>
        <v>2.3740000000000001</v>
      </c>
      <c r="J134" s="7">
        <v>100</v>
      </c>
      <c r="K134" s="7">
        <v>6</v>
      </c>
      <c r="L134" s="10" t="s">
        <v>224</v>
      </c>
      <c r="M134" s="7" t="s">
        <v>465</v>
      </c>
      <c r="N134" s="10" t="s">
        <v>59</v>
      </c>
      <c r="O134" s="73">
        <v>0</v>
      </c>
      <c r="P134" s="68">
        <f t="shared" si="38"/>
        <v>0</v>
      </c>
      <c r="Q134" s="68">
        <f t="shared" si="51"/>
        <v>0</v>
      </c>
      <c r="R134" s="68">
        <f t="shared" si="52"/>
        <v>0</v>
      </c>
      <c r="S134" s="68">
        <f t="shared" si="53"/>
        <v>0</v>
      </c>
      <c r="T134" s="68">
        <f t="shared" si="54"/>
        <v>0</v>
      </c>
      <c r="U134" s="68">
        <f t="shared" si="55"/>
        <v>0</v>
      </c>
      <c r="V134" s="68">
        <f t="shared" si="56"/>
        <v>0</v>
      </c>
    </row>
    <row r="135" spans="1:22" s="7" customFormat="1">
      <c r="A135" s="7" t="s">
        <v>466</v>
      </c>
      <c r="B135" s="7" t="s">
        <v>467</v>
      </c>
      <c r="C135" s="120">
        <v>0</v>
      </c>
      <c r="D135" s="120">
        <v>0.81799999999999995</v>
      </c>
      <c r="E135" s="120">
        <v>0.71599999999999997</v>
      </c>
      <c r="F135" s="120">
        <v>0.71599999999999997</v>
      </c>
      <c r="G135" s="120">
        <v>0</v>
      </c>
      <c r="H135" s="120">
        <v>0</v>
      </c>
      <c r="I135" s="120">
        <v>0</v>
      </c>
      <c r="J135" s="7">
        <v>100</v>
      </c>
      <c r="K135" s="7">
        <v>1.6</v>
      </c>
      <c r="L135" s="143"/>
      <c r="M135" s="7" t="s">
        <v>14</v>
      </c>
      <c r="N135" s="10" t="s">
        <v>59</v>
      </c>
      <c r="O135" s="73">
        <v>50</v>
      </c>
      <c r="P135" s="68">
        <f t="shared" ref="P135:P137" si="57">+$O135/$J135*C135</f>
        <v>0</v>
      </c>
      <c r="Q135" s="68">
        <f t="shared" ref="Q135:Q137" si="58">+$O135/$J135*D135</f>
        <v>0.40899999999999997</v>
      </c>
      <c r="R135" s="68">
        <f t="shared" ref="R135:R137" si="59">+$O135/$J135*E135</f>
        <v>0.35799999999999998</v>
      </c>
      <c r="S135" s="68">
        <f t="shared" ref="S135:S137" si="60">+$O135/$J135*F135</f>
        <v>0.35799999999999998</v>
      </c>
      <c r="T135" s="68">
        <f t="shared" ref="T135:T137" si="61">+$O135/$J135*G135</f>
        <v>0</v>
      </c>
      <c r="U135" s="68">
        <f t="shared" ref="U135:U137" si="62">+$O135/$J135*H135</f>
        <v>0</v>
      </c>
      <c r="V135" s="68">
        <f t="shared" ref="V135:V137" si="63">+$O135/$J135*I135</f>
        <v>0</v>
      </c>
    </row>
    <row r="136" spans="1:22" s="7" customFormat="1">
      <c r="A136" s="7" t="s">
        <v>30</v>
      </c>
      <c r="B136" s="7" t="s">
        <v>79</v>
      </c>
      <c r="C136" s="120">
        <v>0.28000000000000003</v>
      </c>
      <c r="D136" s="120">
        <v>0</v>
      </c>
      <c r="E136" s="120">
        <v>0</v>
      </c>
      <c r="F136" s="120">
        <v>0</v>
      </c>
      <c r="G136" s="120">
        <v>0</v>
      </c>
      <c r="H136" s="120">
        <v>0</v>
      </c>
      <c r="I136" s="120">
        <v>0</v>
      </c>
      <c r="J136" s="7">
        <v>100</v>
      </c>
      <c r="K136" s="7">
        <v>1.6</v>
      </c>
      <c r="M136" s="7" t="s">
        <v>31</v>
      </c>
      <c r="N136" s="10" t="s">
        <v>59</v>
      </c>
      <c r="O136" s="73">
        <v>50</v>
      </c>
      <c r="P136" s="68">
        <f t="shared" si="57"/>
        <v>0.14000000000000001</v>
      </c>
      <c r="Q136" s="68">
        <f t="shared" si="58"/>
        <v>0</v>
      </c>
      <c r="R136" s="68">
        <f t="shared" si="59"/>
        <v>0</v>
      </c>
      <c r="S136" s="68">
        <f t="shared" si="60"/>
        <v>0</v>
      </c>
      <c r="T136" s="68">
        <f t="shared" si="61"/>
        <v>0</v>
      </c>
      <c r="U136" s="68">
        <f t="shared" si="62"/>
        <v>0</v>
      </c>
      <c r="V136" s="68">
        <f t="shared" si="63"/>
        <v>0</v>
      </c>
    </row>
    <row r="137" spans="1:22" s="7" customFormat="1">
      <c r="A137" s="7" t="s">
        <v>30</v>
      </c>
      <c r="B137" s="7" t="s">
        <v>79</v>
      </c>
      <c r="C137" s="120">
        <v>2.1999999999999999E-2</v>
      </c>
      <c r="D137" s="120">
        <v>0</v>
      </c>
      <c r="E137" s="120">
        <v>0</v>
      </c>
      <c r="F137" s="120">
        <v>0</v>
      </c>
      <c r="G137" s="120">
        <v>0</v>
      </c>
      <c r="H137" s="120">
        <v>0</v>
      </c>
      <c r="I137" s="120">
        <v>0</v>
      </c>
      <c r="J137" s="7">
        <v>50</v>
      </c>
      <c r="K137" s="7">
        <v>1.6</v>
      </c>
      <c r="M137" s="7" t="s">
        <v>32</v>
      </c>
      <c r="N137" s="10" t="s">
        <v>59</v>
      </c>
      <c r="O137" s="73">
        <v>50</v>
      </c>
      <c r="P137" s="68">
        <f t="shared" si="57"/>
        <v>2.1999999999999999E-2</v>
      </c>
      <c r="Q137" s="68">
        <f t="shared" si="58"/>
        <v>0</v>
      </c>
      <c r="R137" s="68">
        <f t="shared" si="59"/>
        <v>0</v>
      </c>
      <c r="S137" s="68">
        <f t="shared" si="60"/>
        <v>0</v>
      </c>
      <c r="T137" s="68">
        <f t="shared" si="61"/>
        <v>0</v>
      </c>
      <c r="U137" s="68">
        <f t="shared" si="62"/>
        <v>0</v>
      </c>
      <c r="V137" s="68">
        <f t="shared" si="63"/>
        <v>0</v>
      </c>
    </row>
    <row r="138" spans="1:22" s="7" customFormat="1">
      <c r="A138" s="7" t="s">
        <v>392</v>
      </c>
      <c r="B138" s="7" t="s">
        <v>391</v>
      </c>
      <c r="C138" s="120">
        <f>4.898+0.092</f>
        <v>4.9899999999999993</v>
      </c>
      <c r="D138" s="120">
        <v>0</v>
      </c>
      <c r="E138" s="120">
        <v>0</v>
      </c>
      <c r="F138" s="120">
        <v>0</v>
      </c>
      <c r="G138" s="120">
        <v>0</v>
      </c>
      <c r="H138" s="120">
        <v>0</v>
      </c>
      <c r="I138" s="120">
        <v>0</v>
      </c>
      <c r="J138" s="7">
        <v>70</v>
      </c>
      <c r="K138" s="7">
        <v>4</v>
      </c>
      <c r="L138" s="143" t="s">
        <v>435</v>
      </c>
      <c r="M138" s="7" t="s">
        <v>5</v>
      </c>
      <c r="N138" s="10" t="s">
        <v>59</v>
      </c>
      <c r="O138" s="73">
        <v>50</v>
      </c>
      <c r="P138" s="68">
        <f t="shared" ref="P138:T141" si="64">+$O138/$J138*C138</f>
        <v>3.5642857142857141</v>
      </c>
      <c r="Q138" s="68">
        <f t="shared" si="64"/>
        <v>0</v>
      </c>
      <c r="R138" s="68">
        <f t="shared" si="64"/>
        <v>0</v>
      </c>
      <c r="S138" s="68">
        <f t="shared" si="64"/>
        <v>0</v>
      </c>
      <c r="T138" s="68">
        <f t="shared" si="64"/>
        <v>0</v>
      </c>
      <c r="U138" s="68">
        <f t="shared" ref="U138:U141" si="65">+$O138/$J138*H138</f>
        <v>0</v>
      </c>
      <c r="V138" s="68">
        <f t="shared" ref="V138:V141" si="66">+$O138/$J138*I138</f>
        <v>0</v>
      </c>
    </row>
    <row r="139" spans="1:22" s="7" customFormat="1">
      <c r="A139" s="7" t="s">
        <v>392</v>
      </c>
      <c r="B139" s="7" t="s">
        <v>391</v>
      </c>
      <c r="C139" s="120">
        <v>3.2736000000000001</v>
      </c>
      <c r="D139" s="120">
        <v>4.3643999999999998</v>
      </c>
      <c r="E139" s="120">
        <v>6.0167999999999999</v>
      </c>
      <c r="F139" s="120">
        <v>4.7039999999999997</v>
      </c>
      <c r="G139" s="120">
        <v>5.3045999999999998</v>
      </c>
      <c r="H139" s="120">
        <v>5.5034999999999998</v>
      </c>
      <c r="I139" s="120">
        <v>5.5034999999999998</v>
      </c>
      <c r="J139" s="7">
        <v>30</v>
      </c>
      <c r="K139" s="7">
        <v>4</v>
      </c>
      <c r="L139" s="143" t="s">
        <v>435</v>
      </c>
      <c r="M139" s="7" t="s">
        <v>33</v>
      </c>
      <c r="N139" s="10" t="s">
        <v>59</v>
      </c>
      <c r="O139" s="73">
        <v>30</v>
      </c>
      <c r="P139" s="68">
        <f t="shared" si="64"/>
        <v>3.2736000000000001</v>
      </c>
      <c r="Q139" s="68">
        <f t="shared" si="64"/>
        <v>4.3643999999999998</v>
      </c>
      <c r="R139" s="68">
        <f t="shared" si="64"/>
        <v>6.0167999999999999</v>
      </c>
      <c r="S139" s="68">
        <f t="shared" si="64"/>
        <v>4.7039999999999997</v>
      </c>
      <c r="T139" s="68">
        <f t="shared" si="64"/>
        <v>5.3045999999999998</v>
      </c>
      <c r="U139" s="68">
        <f t="shared" si="65"/>
        <v>5.5034999999999998</v>
      </c>
      <c r="V139" s="68">
        <f t="shared" si="66"/>
        <v>5.5034999999999998</v>
      </c>
    </row>
    <row r="140" spans="1:22" s="7" customFormat="1">
      <c r="A140" s="145" t="s">
        <v>329</v>
      </c>
      <c r="B140" s="189" t="s">
        <v>330</v>
      </c>
      <c r="C140" s="190">
        <v>15.714</v>
      </c>
      <c r="D140" s="190">
        <v>5.3057999999999996</v>
      </c>
      <c r="E140" s="190">
        <v>12.8748</v>
      </c>
      <c r="F140" s="190">
        <v>9.4118999999999993</v>
      </c>
      <c r="G140" s="190">
        <v>8.2125000000000004</v>
      </c>
      <c r="H140" s="190">
        <v>7.2408000000000001</v>
      </c>
      <c r="I140" s="190">
        <v>7.7031000000000001</v>
      </c>
      <c r="J140" s="191">
        <v>30</v>
      </c>
      <c r="K140" s="11">
        <v>5</v>
      </c>
      <c r="L140" s="7" t="s">
        <v>223</v>
      </c>
      <c r="M140" s="145" t="s">
        <v>14</v>
      </c>
      <c r="N140" s="7" t="s">
        <v>59</v>
      </c>
      <c r="O140" s="11">
        <v>30</v>
      </c>
      <c r="P140" s="68">
        <f t="shared" si="64"/>
        <v>15.714</v>
      </c>
      <c r="Q140" s="68">
        <f t="shared" si="64"/>
        <v>5.3057999999999996</v>
      </c>
      <c r="R140" s="68">
        <f t="shared" si="64"/>
        <v>12.8748</v>
      </c>
      <c r="S140" s="68">
        <f t="shared" si="64"/>
        <v>9.4118999999999993</v>
      </c>
      <c r="T140" s="68">
        <f t="shared" si="64"/>
        <v>8.2125000000000004</v>
      </c>
      <c r="U140" s="68">
        <f t="shared" si="65"/>
        <v>7.2408000000000001</v>
      </c>
      <c r="V140" s="68">
        <f t="shared" si="66"/>
        <v>7.7031000000000001</v>
      </c>
    </row>
    <row r="141" spans="1:22" s="7" customFormat="1">
      <c r="A141" s="145" t="s">
        <v>329</v>
      </c>
      <c r="B141" s="10" t="s">
        <v>303</v>
      </c>
      <c r="C141" s="190">
        <v>1.599</v>
      </c>
      <c r="D141" s="190">
        <v>1.304</v>
      </c>
      <c r="E141" s="190">
        <v>0</v>
      </c>
      <c r="F141" s="190">
        <v>0</v>
      </c>
      <c r="G141" s="190">
        <v>0</v>
      </c>
      <c r="H141" s="190">
        <v>0</v>
      </c>
      <c r="I141" s="190">
        <v>0</v>
      </c>
      <c r="J141" s="191">
        <v>35</v>
      </c>
      <c r="K141" s="11">
        <v>6</v>
      </c>
      <c r="L141" s="10" t="s">
        <v>224</v>
      </c>
      <c r="M141" s="145" t="s">
        <v>33</v>
      </c>
      <c r="N141" s="7" t="s">
        <v>59</v>
      </c>
      <c r="O141" s="11">
        <v>35</v>
      </c>
      <c r="P141" s="68">
        <f t="shared" si="64"/>
        <v>1.599</v>
      </c>
      <c r="Q141" s="68">
        <f t="shared" si="64"/>
        <v>1.304</v>
      </c>
      <c r="R141" s="68">
        <f t="shared" si="64"/>
        <v>0</v>
      </c>
      <c r="S141" s="68">
        <f t="shared" si="64"/>
        <v>0</v>
      </c>
      <c r="T141" s="68">
        <f t="shared" si="64"/>
        <v>0</v>
      </c>
      <c r="U141" s="68">
        <f t="shared" si="65"/>
        <v>0</v>
      </c>
      <c r="V141" s="68">
        <f t="shared" si="66"/>
        <v>0</v>
      </c>
    </row>
    <row r="142" spans="1:22" s="87" customFormat="1" ht="15">
      <c r="A142" s="87" t="s">
        <v>470</v>
      </c>
      <c r="B142" s="149" t="s">
        <v>472</v>
      </c>
      <c r="C142" s="151"/>
      <c r="D142" s="151"/>
      <c r="E142" s="151"/>
      <c r="F142" s="151"/>
      <c r="G142" s="151"/>
      <c r="H142" s="151"/>
      <c r="I142" s="151"/>
      <c r="L142" s="23"/>
      <c r="O142" s="152"/>
      <c r="P142" s="188">
        <f>+SUM(P143:P149)</f>
        <v>61.761199999999995</v>
      </c>
      <c r="Q142" s="188">
        <f t="shared" ref="Q142:V142" si="67">+SUM(Q143:Q149)</f>
        <v>163.22879999999998</v>
      </c>
      <c r="R142" s="188">
        <f t="shared" si="67"/>
        <v>103.5971</v>
      </c>
      <c r="S142" s="188">
        <f t="shared" si="67"/>
        <v>133.14079999999998</v>
      </c>
      <c r="T142" s="188">
        <f t="shared" si="67"/>
        <v>116.47059999999999</v>
      </c>
      <c r="U142" s="188">
        <f t="shared" si="67"/>
        <v>118.91829999999999</v>
      </c>
      <c r="V142" s="188">
        <f t="shared" si="67"/>
        <v>122.27779999999998</v>
      </c>
    </row>
    <row r="143" spans="1:22" s="7" customFormat="1">
      <c r="A143" s="7" t="s">
        <v>55</v>
      </c>
      <c r="B143" s="7" t="s">
        <v>331</v>
      </c>
      <c r="C143" s="120">
        <v>33.756999999999998</v>
      </c>
      <c r="D143" s="120">
        <v>25.001000000000001</v>
      </c>
      <c r="E143" s="120">
        <v>32.979999999999997</v>
      </c>
      <c r="F143" s="120">
        <v>27.686</v>
      </c>
      <c r="G143" s="120">
        <v>20.635000000000002</v>
      </c>
      <c r="H143" s="120">
        <v>29.280999999999999</v>
      </c>
      <c r="I143" s="120">
        <v>27.381</v>
      </c>
      <c r="J143" s="7">
        <v>100</v>
      </c>
      <c r="K143" s="7">
        <v>6</v>
      </c>
      <c r="L143" s="10" t="s">
        <v>224</v>
      </c>
      <c r="M143" s="7" t="s">
        <v>14</v>
      </c>
      <c r="N143" s="10" t="s">
        <v>59</v>
      </c>
      <c r="O143" s="73">
        <v>100</v>
      </c>
      <c r="P143" s="68">
        <f t="shared" ref="P143:P149" si="68">+$O143/$J143*C143</f>
        <v>33.756999999999998</v>
      </c>
      <c r="Q143" s="68">
        <f t="shared" ref="Q143:Q149" si="69">+$O143/$J143*D143</f>
        <v>25.001000000000001</v>
      </c>
      <c r="R143" s="68">
        <f t="shared" ref="R143:R149" si="70">+$O143/$J143*E143</f>
        <v>32.979999999999997</v>
      </c>
      <c r="S143" s="68">
        <f t="shared" ref="S143:S149" si="71">+$O143/$J143*F143</f>
        <v>27.686</v>
      </c>
      <c r="T143" s="68">
        <f t="shared" ref="T143:T149" si="72">+$O143/$J143*G143</f>
        <v>20.635000000000002</v>
      </c>
      <c r="U143" s="68">
        <f t="shared" ref="U143:U149" si="73">+$O143/$J143*H143</f>
        <v>29.280999999999999</v>
      </c>
      <c r="V143" s="68">
        <f t="shared" ref="V143:V149" si="74">+$O143/$J143*I143</f>
        <v>27.381</v>
      </c>
    </row>
    <row r="144" spans="1:22" s="7" customFormat="1">
      <c r="A144" s="7" t="s">
        <v>55</v>
      </c>
      <c r="B144" s="7" t="s">
        <v>331</v>
      </c>
      <c r="C144" s="120">
        <v>11.420999999999999</v>
      </c>
      <c r="D144" s="120">
        <v>34.652000000000001</v>
      </c>
      <c r="E144" s="120">
        <v>18.378</v>
      </c>
      <c r="F144" s="120">
        <v>18.366</v>
      </c>
      <c r="G144" s="120">
        <v>17.661999999999999</v>
      </c>
      <c r="H144" s="120">
        <v>19.361999999999998</v>
      </c>
      <c r="I144" s="120">
        <v>20.161999999999999</v>
      </c>
      <c r="J144" s="7">
        <v>100</v>
      </c>
      <c r="K144" s="7">
        <v>6</v>
      </c>
      <c r="L144" s="10" t="s">
        <v>224</v>
      </c>
      <c r="M144" s="7" t="s">
        <v>14</v>
      </c>
      <c r="N144" s="10" t="s">
        <v>59</v>
      </c>
      <c r="O144" s="73">
        <v>100</v>
      </c>
      <c r="P144" s="68">
        <f t="shared" si="68"/>
        <v>11.420999999999999</v>
      </c>
      <c r="Q144" s="68">
        <f t="shared" si="69"/>
        <v>34.652000000000001</v>
      </c>
      <c r="R144" s="68">
        <f t="shared" si="70"/>
        <v>18.378</v>
      </c>
      <c r="S144" s="68">
        <f t="shared" si="71"/>
        <v>18.366</v>
      </c>
      <c r="T144" s="68">
        <f t="shared" si="72"/>
        <v>17.661999999999999</v>
      </c>
      <c r="U144" s="68">
        <f t="shared" si="73"/>
        <v>19.361999999999998</v>
      </c>
      <c r="V144" s="68">
        <f t="shared" si="74"/>
        <v>20.161999999999999</v>
      </c>
    </row>
    <row r="145" spans="1:22" s="7" customFormat="1">
      <c r="A145" s="7" t="s">
        <v>56</v>
      </c>
      <c r="B145" s="7" t="s">
        <v>332</v>
      </c>
      <c r="C145" s="120">
        <v>10.3992</v>
      </c>
      <c r="D145" s="120">
        <v>25.020800000000001</v>
      </c>
      <c r="E145" s="120">
        <v>14.184100000000001</v>
      </c>
      <c r="F145" s="120">
        <v>19.686800000000002</v>
      </c>
      <c r="G145" s="120">
        <v>18.440100000000001</v>
      </c>
      <c r="H145" s="120">
        <v>19.000800000000002</v>
      </c>
      <c r="I145" s="120">
        <v>19.630800000000001</v>
      </c>
      <c r="J145" s="7">
        <v>70</v>
      </c>
      <c r="K145" s="7">
        <v>6</v>
      </c>
      <c r="L145" s="10" t="s">
        <v>224</v>
      </c>
      <c r="M145" s="7" t="s">
        <v>14</v>
      </c>
      <c r="N145" s="10" t="s">
        <v>59</v>
      </c>
      <c r="O145" s="73">
        <v>70</v>
      </c>
      <c r="P145" s="68">
        <f t="shared" si="68"/>
        <v>10.3992</v>
      </c>
      <c r="Q145" s="68">
        <f t="shared" si="69"/>
        <v>25.020800000000001</v>
      </c>
      <c r="R145" s="68">
        <f t="shared" si="70"/>
        <v>14.184100000000001</v>
      </c>
      <c r="S145" s="68">
        <f t="shared" si="71"/>
        <v>19.686800000000002</v>
      </c>
      <c r="T145" s="68">
        <f t="shared" si="72"/>
        <v>18.440100000000001</v>
      </c>
      <c r="U145" s="68">
        <f t="shared" si="73"/>
        <v>19.000800000000002</v>
      </c>
      <c r="V145" s="68">
        <f t="shared" si="74"/>
        <v>19.630800000000001</v>
      </c>
    </row>
    <row r="146" spans="1:22" s="7" customFormat="1">
      <c r="A146" s="7" t="s">
        <v>473</v>
      </c>
      <c r="B146" s="7" t="s">
        <v>474</v>
      </c>
      <c r="C146" s="120">
        <v>0</v>
      </c>
      <c r="D146" s="120">
        <v>0</v>
      </c>
      <c r="E146" s="120">
        <v>16.100000000000001</v>
      </c>
      <c r="F146" s="120">
        <v>16.100000000000001</v>
      </c>
      <c r="G146" s="120">
        <v>16.100000000000001</v>
      </c>
      <c r="H146" s="120">
        <v>16.100000000000001</v>
      </c>
      <c r="I146" s="120">
        <v>16.100000000000001</v>
      </c>
      <c r="J146" s="7">
        <v>70</v>
      </c>
      <c r="K146" s="7">
        <v>6</v>
      </c>
      <c r="L146" s="10" t="s">
        <v>224</v>
      </c>
      <c r="M146" s="7" t="s">
        <v>14</v>
      </c>
      <c r="N146" s="10" t="s">
        <v>59</v>
      </c>
      <c r="O146" s="73">
        <v>70</v>
      </c>
      <c r="P146" s="68">
        <f t="shared" si="68"/>
        <v>0</v>
      </c>
      <c r="Q146" s="68">
        <f t="shared" si="69"/>
        <v>0</v>
      </c>
      <c r="R146" s="68">
        <f t="shared" si="70"/>
        <v>16.100000000000001</v>
      </c>
      <c r="S146" s="68">
        <f t="shared" si="71"/>
        <v>16.100000000000001</v>
      </c>
      <c r="T146" s="68">
        <f t="shared" si="72"/>
        <v>16.100000000000001</v>
      </c>
      <c r="U146" s="68">
        <f t="shared" si="73"/>
        <v>16.100000000000001</v>
      </c>
      <c r="V146" s="68">
        <f t="shared" si="74"/>
        <v>16.100000000000001</v>
      </c>
    </row>
    <row r="147" spans="1:22" s="7" customFormat="1">
      <c r="A147" s="7" t="s">
        <v>15</v>
      </c>
      <c r="B147" s="189" t="s">
        <v>334</v>
      </c>
      <c r="C147" s="120">
        <v>1.5</v>
      </c>
      <c r="D147" s="120">
        <v>18.350000000000001</v>
      </c>
      <c r="E147" s="120">
        <v>16.3</v>
      </c>
      <c r="F147" s="120">
        <v>12.696</v>
      </c>
      <c r="G147" s="120">
        <v>11.9255</v>
      </c>
      <c r="H147" s="120">
        <v>16.4665</v>
      </c>
      <c r="I147" s="120">
        <v>21.495999999999999</v>
      </c>
      <c r="J147" s="7">
        <v>50</v>
      </c>
      <c r="K147" s="7">
        <v>6</v>
      </c>
      <c r="L147" s="10" t="s">
        <v>224</v>
      </c>
      <c r="M147" s="7" t="s">
        <v>14</v>
      </c>
      <c r="N147" s="10" t="s">
        <v>59</v>
      </c>
      <c r="O147" s="73">
        <v>50</v>
      </c>
      <c r="P147" s="68">
        <f t="shared" si="68"/>
        <v>1.5</v>
      </c>
      <c r="Q147" s="68">
        <f t="shared" si="69"/>
        <v>18.350000000000001</v>
      </c>
      <c r="R147" s="68">
        <f t="shared" si="70"/>
        <v>16.3</v>
      </c>
      <c r="S147" s="68">
        <f t="shared" si="71"/>
        <v>12.696</v>
      </c>
      <c r="T147" s="68">
        <f t="shared" si="72"/>
        <v>11.9255</v>
      </c>
      <c r="U147" s="68">
        <f t="shared" si="73"/>
        <v>16.4665</v>
      </c>
      <c r="V147" s="68">
        <f t="shared" si="74"/>
        <v>21.495999999999999</v>
      </c>
    </row>
    <row r="148" spans="1:22" s="7" customFormat="1" ht="25.5">
      <c r="A148" s="145">
        <v>19</v>
      </c>
      <c r="B148" s="189" t="s">
        <v>434</v>
      </c>
      <c r="C148" s="190">
        <v>0</v>
      </c>
      <c r="D148" s="190">
        <f>29.624+24</f>
        <v>53.623999999999995</v>
      </c>
      <c r="E148" s="190">
        <v>0</v>
      </c>
      <c r="F148" s="190">
        <f>18.5+9</f>
        <v>27.5</v>
      </c>
      <c r="G148" s="190">
        <f>16.5+7</f>
        <v>23.5</v>
      </c>
      <c r="H148" s="190">
        <v>10.5</v>
      </c>
      <c r="I148" s="190">
        <v>9.5</v>
      </c>
      <c r="J148" s="191">
        <v>100</v>
      </c>
      <c r="K148" s="11" t="s">
        <v>20</v>
      </c>
      <c r="M148" s="145" t="s">
        <v>475</v>
      </c>
      <c r="N148" s="7" t="s">
        <v>396</v>
      </c>
      <c r="O148" s="11">
        <v>100</v>
      </c>
      <c r="P148" s="68">
        <f t="shared" si="68"/>
        <v>0</v>
      </c>
      <c r="Q148" s="68">
        <f t="shared" si="69"/>
        <v>53.623999999999995</v>
      </c>
      <c r="R148" s="68">
        <f t="shared" si="70"/>
        <v>0</v>
      </c>
      <c r="S148" s="68">
        <f t="shared" si="71"/>
        <v>27.5</v>
      </c>
      <c r="T148" s="68">
        <f t="shared" si="72"/>
        <v>23.5</v>
      </c>
      <c r="U148" s="68">
        <f t="shared" si="73"/>
        <v>10.5</v>
      </c>
      <c r="V148" s="68">
        <f t="shared" si="74"/>
        <v>9.5</v>
      </c>
    </row>
    <row r="149" spans="1:22" s="7" customFormat="1">
      <c r="A149" s="7" t="s">
        <v>476</v>
      </c>
      <c r="B149" s="7" t="s">
        <v>433</v>
      </c>
      <c r="C149" s="120">
        <f>2.734+1.95</f>
        <v>4.6840000000000002</v>
      </c>
      <c r="D149" s="120">
        <f>4.28+2.301</f>
        <v>6.5810000000000004</v>
      </c>
      <c r="E149" s="120">
        <f>3.654+2.001</f>
        <v>5.6549999999999994</v>
      </c>
      <c r="F149" s="120">
        <f>7.655+3.451</f>
        <v>11.106</v>
      </c>
      <c r="G149" s="120">
        <f>5.757+2.451</f>
        <v>8.2080000000000002</v>
      </c>
      <c r="H149" s="120">
        <f>5.757+2.451</f>
        <v>8.2080000000000002</v>
      </c>
      <c r="I149" s="120">
        <f>5.757+2.251</f>
        <v>8.0079999999999991</v>
      </c>
      <c r="J149" s="7">
        <v>50</v>
      </c>
      <c r="K149" s="73">
        <v>6</v>
      </c>
      <c r="L149" s="10" t="s">
        <v>224</v>
      </c>
      <c r="M149" s="7" t="s">
        <v>14</v>
      </c>
      <c r="N149" s="10" t="s">
        <v>59</v>
      </c>
      <c r="O149" s="7">
        <v>50</v>
      </c>
      <c r="P149" s="68">
        <f t="shared" si="68"/>
        <v>4.6840000000000002</v>
      </c>
      <c r="Q149" s="68">
        <f t="shared" si="69"/>
        <v>6.5810000000000004</v>
      </c>
      <c r="R149" s="68">
        <f t="shared" si="70"/>
        <v>5.6549999999999994</v>
      </c>
      <c r="S149" s="68">
        <f t="shared" si="71"/>
        <v>11.106</v>
      </c>
      <c r="T149" s="68">
        <f t="shared" si="72"/>
        <v>8.2080000000000002</v>
      </c>
      <c r="U149" s="68">
        <f t="shared" si="73"/>
        <v>8.2080000000000002</v>
      </c>
      <c r="V149" s="68">
        <f t="shared" si="74"/>
        <v>8.0079999999999991</v>
      </c>
    </row>
    <row r="150" spans="1:22" s="7" customFormat="1" ht="15">
      <c r="A150" s="87" t="s">
        <v>477</v>
      </c>
      <c r="B150" s="149" t="s">
        <v>34</v>
      </c>
      <c r="C150" s="120"/>
      <c r="D150" s="120"/>
      <c r="E150" s="120"/>
      <c r="F150" s="120"/>
      <c r="G150" s="120"/>
      <c r="H150" s="120"/>
      <c r="I150" s="120"/>
      <c r="K150" s="73"/>
      <c r="L150" s="10"/>
      <c r="N150" s="10"/>
      <c r="P150" s="188">
        <f>SUM(P151:P162)</f>
        <v>60.593566666666668</v>
      </c>
      <c r="Q150" s="188">
        <f t="shared" ref="Q150:V150" si="75">SUM(Q151:Q162)</f>
        <v>62.565250000000006</v>
      </c>
      <c r="R150" s="188">
        <f t="shared" si="75"/>
        <v>62.887083333333322</v>
      </c>
      <c r="S150" s="188">
        <f t="shared" si="75"/>
        <v>63.896083333333323</v>
      </c>
      <c r="T150" s="188">
        <f t="shared" si="75"/>
        <v>64.496083333333331</v>
      </c>
      <c r="U150" s="188">
        <f t="shared" si="75"/>
        <v>66.995999999999995</v>
      </c>
      <c r="V150" s="188">
        <f t="shared" si="75"/>
        <v>58.870999999999995</v>
      </c>
    </row>
    <row r="151" spans="1:22" s="7" customFormat="1">
      <c r="A151" s="144" t="s">
        <v>478</v>
      </c>
      <c r="B151" s="7" t="s">
        <v>35</v>
      </c>
      <c r="C151" s="120">
        <f>9.129+5.285</f>
        <v>14.414</v>
      </c>
      <c r="D151" s="120">
        <f>8.9+12.21</f>
        <v>21.11</v>
      </c>
      <c r="E151" s="120">
        <f>8.272+12.15</f>
        <v>20.422000000000001</v>
      </c>
      <c r="F151" s="120">
        <f>6.693+12.08</f>
        <v>18.773</v>
      </c>
      <c r="G151" s="120">
        <f>7.873+12.5</f>
        <v>20.373000000000001</v>
      </c>
      <c r="H151" s="120">
        <f>G151</f>
        <v>20.373000000000001</v>
      </c>
      <c r="I151" s="120">
        <f>7.873+4.375</f>
        <v>12.248000000000001</v>
      </c>
      <c r="J151" s="7">
        <v>25</v>
      </c>
      <c r="K151" s="7">
        <v>5</v>
      </c>
      <c r="L151" s="7" t="s">
        <v>223</v>
      </c>
      <c r="M151" s="7" t="s">
        <v>14</v>
      </c>
      <c r="N151" s="10" t="s">
        <v>59</v>
      </c>
      <c r="O151" s="73">
        <v>25</v>
      </c>
      <c r="P151" s="68">
        <f t="shared" ref="P151:P160" si="76">+$O151/$J151*C151</f>
        <v>14.414</v>
      </c>
      <c r="Q151" s="68">
        <f t="shared" ref="Q151:Q160" si="77">+$O151/$J151*D151</f>
        <v>21.11</v>
      </c>
      <c r="R151" s="68">
        <f t="shared" ref="R151:R160" si="78">+$O151/$J151*E151</f>
        <v>20.422000000000001</v>
      </c>
      <c r="S151" s="68">
        <f t="shared" ref="S151:S160" si="79">+$O151/$J151*F151</f>
        <v>18.773</v>
      </c>
      <c r="T151" s="68">
        <f t="shared" ref="T151:T160" si="80">+$O151/$J151*G151</f>
        <v>20.373000000000001</v>
      </c>
      <c r="U151" s="68">
        <f t="shared" ref="U151:U160" si="81">+$O151/$J151*H151</f>
        <v>20.373000000000001</v>
      </c>
      <c r="V151" s="68">
        <f t="shared" ref="V151:V160" si="82">+$O151/$J151*I151</f>
        <v>12.248000000000001</v>
      </c>
    </row>
    <row r="152" spans="1:22" s="7" customFormat="1">
      <c r="A152" s="144">
        <v>14</v>
      </c>
      <c r="B152" s="7" t="s">
        <v>393</v>
      </c>
      <c r="C152" s="120">
        <v>3.0459000000000001</v>
      </c>
      <c r="D152" s="120">
        <v>5.55</v>
      </c>
      <c r="E152" s="120">
        <v>12.3</v>
      </c>
      <c r="F152" s="120">
        <v>14.7</v>
      </c>
      <c r="G152" s="120">
        <v>14.7</v>
      </c>
      <c r="H152" s="120">
        <v>14.7</v>
      </c>
      <c r="I152" s="120">
        <v>14.7</v>
      </c>
      <c r="J152" s="7">
        <v>30</v>
      </c>
      <c r="K152" s="7">
        <v>5</v>
      </c>
      <c r="L152" s="7" t="s">
        <v>223</v>
      </c>
      <c r="M152" s="7" t="s">
        <v>59</v>
      </c>
      <c r="N152" s="10" t="s">
        <v>59</v>
      </c>
      <c r="O152" s="73">
        <v>30</v>
      </c>
      <c r="P152" s="68">
        <f t="shared" si="76"/>
        <v>3.0459000000000001</v>
      </c>
      <c r="Q152" s="68">
        <f t="shared" si="77"/>
        <v>5.55</v>
      </c>
      <c r="R152" s="68">
        <f t="shared" si="78"/>
        <v>12.3</v>
      </c>
      <c r="S152" s="68">
        <f t="shared" si="79"/>
        <v>14.7</v>
      </c>
      <c r="T152" s="68">
        <f t="shared" si="80"/>
        <v>14.7</v>
      </c>
      <c r="U152" s="68">
        <f t="shared" si="81"/>
        <v>14.7</v>
      </c>
      <c r="V152" s="68">
        <f t="shared" si="82"/>
        <v>14.7</v>
      </c>
    </row>
    <row r="153" spans="1:22" s="7" customFormat="1">
      <c r="A153" s="144" t="s">
        <v>479</v>
      </c>
      <c r="B153" s="7" t="s">
        <v>36</v>
      </c>
      <c r="C153" s="120">
        <f>0.765+0.324+0.011+0.002+0.971+0.207+2.043</f>
        <v>4.3230000000000004</v>
      </c>
      <c r="D153" s="120">
        <f>1.069+0.413+0.013+0.088+0.7+0.75+1.468</f>
        <v>4.5009999999999994</v>
      </c>
      <c r="E153" s="120">
        <v>0.59199999999999997</v>
      </c>
      <c r="F153" s="120">
        <v>0.59199999999999997</v>
      </c>
      <c r="G153" s="120">
        <v>0.59199999999999997</v>
      </c>
      <c r="H153" s="120">
        <v>0.59199999999999997</v>
      </c>
      <c r="I153" s="120">
        <v>0.59199999999999997</v>
      </c>
      <c r="J153" s="7">
        <v>25</v>
      </c>
      <c r="K153" s="7">
        <v>5</v>
      </c>
      <c r="L153" s="7" t="s">
        <v>223</v>
      </c>
      <c r="M153" s="7" t="s">
        <v>14</v>
      </c>
      <c r="N153" s="10" t="s">
        <v>59</v>
      </c>
      <c r="O153" s="73">
        <v>25</v>
      </c>
      <c r="P153" s="68">
        <f t="shared" si="76"/>
        <v>4.3230000000000004</v>
      </c>
      <c r="Q153" s="68">
        <f t="shared" si="77"/>
        <v>4.5009999999999994</v>
      </c>
      <c r="R153" s="68">
        <f t="shared" si="78"/>
        <v>0.59199999999999997</v>
      </c>
      <c r="S153" s="68">
        <f t="shared" si="79"/>
        <v>0.59199999999999997</v>
      </c>
      <c r="T153" s="68">
        <f t="shared" si="80"/>
        <v>0.59199999999999997</v>
      </c>
      <c r="U153" s="68">
        <f t="shared" si="81"/>
        <v>0.59199999999999997</v>
      </c>
      <c r="V153" s="68">
        <f t="shared" si="82"/>
        <v>0.59199999999999997</v>
      </c>
    </row>
    <row r="154" spans="1:22" s="7" customFormat="1">
      <c r="A154" s="144" t="s">
        <v>478</v>
      </c>
      <c r="B154" s="7" t="s">
        <v>480</v>
      </c>
      <c r="C154" s="120">
        <v>1.488</v>
      </c>
      <c r="D154" s="120">
        <v>0.188</v>
      </c>
      <c r="E154" s="120">
        <v>0</v>
      </c>
      <c r="F154" s="120">
        <v>0</v>
      </c>
      <c r="G154" s="120">
        <v>0</v>
      </c>
      <c r="H154" s="120">
        <v>0</v>
      </c>
      <c r="I154" s="120">
        <v>0</v>
      </c>
      <c r="J154" s="7">
        <v>25</v>
      </c>
      <c r="K154" s="7">
        <v>5</v>
      </c>
      <c r="L154" s="7" t="s">
        <v>223</v>
      </c>
      <c r="M154" s="7" t="s">
        <v>14</v>
      </c>
      <c r="N154" s="10" t="s">
        <v>59</v>
      </c>
      <c r="O154" s="73">
        <v>25</v>
      </c>
      <c r="P154" s="68">
        <f t="shared" ref="P154" si="83">+$O154/$J154*C154</f>
        <v>1.488</v>
      </c>
      <c r="Q154" s="68">
        <f t="shared" ref="Q154" si="84">+$O154/$J154*D154</f>
        <v>0.188</v>
      </c>
      <c r="R154" s="68">
        <f t="shared" ref="R154" si="85">+$O154/$J154*E154</f>
        <v>0</v>
      </c>
      <c r="S154" s="68">
        <f t="shared" ref="S154" si="86">+$O154/$J154*F154</f>
        <v>0</v>
      </c>
      <c r="T154" s="68">
        <f t="shared" ref="T154" si="87">+$O154/$J154*G154</f>
        <v>0</v>
      </c>
      <c r="U154" s="68">
        <f t="shared" ref="U154" si="88">+$O154/$J154*H154</f>
        <v>0</v>
      </c>
      <c r="V154" s="68">
        <f t="shared" ref="V154" si="89">+$O154/$J154*I154</f>
        <v>0</v>
      </c>
    </row>
    <row r="155" spans="1:22" s="7" customFormat="1">
      <c r="A155" s="144" t="s">
        <v>478</v>
      </c>
      <c r="B155" s="7" t="s">
        <v>37</v>
      </c>
      <c r="C155" s="120">
        <v>0</v>
      </c>
      <c r="D155" s="120">
        <v>0.24</v>
      </c>
      <c r="E155" s="120">
        <v>4.3620000000000001</v>
      </c>
      <c r="F155" s="120">
        <v>5.08</v>
      </c>
      <c r="G155" s="120">
        <v>3.08</v>
      </c>
      <c r="H155" s="120">
        <v>8.08</v>
      </c>
      <c r="I155" s="120">
        <v>8.08</v>
      </c>
      <c r="J155" s="7">
        <v>100</v>
      </c>
      <c r="K155" s="7">
        <v>5</v>
      </c>
      <c r="L155" s="7" t="s">
        <v>223</v>
      </c>
      <c r="M155" s="7" t="s">
        <v>14</v>
      </c>
      <c r="N155" s="10" t="s">
        <v>59</v>
      </c>
      <c r="O155" s="73">
        <v>50</v>
      </c>
      <c r="P155" s="68">
        <f t="shared" si="76"/>
        <v>0</v>
      </c>
      <c r="Q155" s="68">
        <f t="shared" si="77"/>
        <v>0.12</v>
      </c>
      <c r="R155" s="68">
        <f t="shared" si="78"/>
        <v>2.181</v>
      </c>
      <c r="S155" s="68">
        <f t="shared" si="79"/>
        <v>2.54</v>
      </c>
      <c r="T155" s="68">
        <f t="shared" si="80"/>
        <v>1.54</v>
      </c>
      <c r="U155" s="68">
        <f t="shared" si="81"/>
        <v>4.04</v>
      </c>
      <c r="V155" s="68">
        <f t="shared" si="82"/>
        <v>4.04</v>
      </c>
    </row>
    <row r="156" spans="1:22" s="7" customFormat="1">
      <c r="A156" s="144" t="s">
        <v>478</v>
      </c>
      <c r="B156" s="7" t="s">
        <v>364</v>
      </c>
      <c r="C156" s="120">
        <v>7.25</v>
      </c>
      <c r="D156" s="120">
        <v>7.2510000000000003</v>
      </c>
      <c r="E156" s="120">
        <v>8.1110000000000007</v>
      </c>
      <c r="F156" s="120">
        <v>8.1110000000000007</v>
      </c>
      <c r="G156" s="120">
        <v>8.1110000000000007</v>
      </c>
      <c r="H156" s="120">
        <v>8.1110000000000007</v>
      </c>
      <c r="I156" s="120">
        <v>8.1110000000000007</v>
      </c>
      <c r="J156" s="7">
        <v>100</v>
      </c>
      <c r="K156" s="7">
        <v>5</v>
      </c>
      <c r="L156" s="7" t="s">
        <v>223</v>
      </c>
      <c r="M156" s="7" t="s">
        <v>38</v>
      </c>
      <c r="N156" s="7" t="s">
        <v>58</v>
      </c>
      <c r="O156" s="73">
        <v>25</v>
      </c>
      <c r="P156" s="68">
        <f t="shared" si="76"/>
        <v>1.8125</v>
      </c>
      <c r="Q156" s="68">
        <f t="shared" si="77"/>
        <v>1.8127500000000001</v>
      </c>
      <c r="R156" s="68">
        <f t="shared" si="78"/>
        <v>2.0277500000000002</v>
      </c>
      <c r="S156" s="68">
        <f t="shared" si="79"/>
        <v>2.0277500000000002</v>
      </c>
      <c r="T156" s="68">
        <f t="shared" si="80"/>
        <v>2.0277500000000002</v>
      </c>
      <c r="U156" s="68">
        <f t="shared" si="81"/>
        <v>2.0277500000000002</v>
      </c>
      <c r="V156" s="68">
        <f t="shared" si="82"/>
        <v>2.0277500000000002</v>
      </c>
    </row>
    <row r="157" spans="1:22" s="7" customFormat="1">
      <c r="A157" s="144" t="s">
        <v>481</v>
      </c>
      <c r="B157" s="7" t="s">
        <v>39</v>
      </c>
      <c r="C157" s="120">
        <f>2.869+9.521</f>
        <v>12.39</v>
      </c>
      <c r="D157" s="120">
        <f>0.668+4.365+1.5+0.2</f>
        <v>6.7330000000000005</v>
      </c>
      <c r="E157" s="120">
        <f>5.456+2+0.25</f>
        <v>7.7060000000000004</v>
      </c>
      <c r="F157" s="120">
        <f>5.907+2.5+0.25</f>
        <v>8.657</v>
      </c>
      <c r="G157" s="120">
        <f>4.167+2.5+0.25</f>
        <v>6.9169999999999998</v>
      </c>
      <c r="H157" s="120">
        <f>5.167+2.5+0.25</f>
        <v>7.9169999999999998</v>
      </c>
      <c r="I157" s="120">
        <f>5.167+2.5+0.25</f>
        <v>7.9169999999999998</v>
      </c>
      <c r="J157" s="7">
        <v>100</v>
      </c>
      <c r="K157" s="7">
        <v>5</v>
      </c>
      <c r="L157" s="7" t="s">
        <v>223</v>
      </c>
      <c r="M157" s="7" t="s">
        <v>20</v>
      </c>
      <c r="N157" s="7" t="s">
        <v>59</v>
      </c>
      <c r="O157" s="73">
        <v>0</v>
      </c>
      <c r="P157" s="68">
        <f t="shared" si="76"/>
        <v>0</v>
      </c>
      <c r="Q157" s="68">
        <f t="shared" si="77"/>
        <v>0</v>
      </c>
      <c r="R157" s="68">
        <f t="shared" si="78"/>
        <v>0</v>
      </c>
      <c r="S157" s="68">
        <f t="shared" si="79"/>
        <v>0</v>
      </c>
      <c r="T157" s="68">
        <f t="shared" si="80"/>
        <v>0</v>
      </c>
      <c r="U157" s="68">
        <f t="shared" si="81"/>
        <v>0</v>
      </c>
      <c r="V157" s="68">
        <f t="shared" si="82"/>
        <v>0</v>
      </c>
    </row>
    <row r="158" spans="1:22" s="7" customFormat="1">
      <c r="A158" s="144" t="s">
        <v>481</v>
      </c>
      <c r="B158" s="7" t="s">
        <v>40</v>
      </c>
      <c r="C158" s="120">
        <v>0</v>
      </c>
      <c r="D158" s="120">
        <v>8.0000000000000002E-3</v>
      </c>
      <c r="E158" s="120">
        <v>2.8000000000000001E-2</v>
      </c>
      <c r="F158" s="120">
        <v>2.8000000000000001E-2</v>
      </c>
      <c r="G158" s="120">
        <v>2.8000000000000001E-2</v>
      </c>
      <c r="H158" s="120">
        <v>2.775E-2</v>
      </c>
      <c r="I158" s="120">
        <v>2.775E-2</v>
      </c>
      <c r="J158" s="7">
        <v>75</v>
      </c>
      <c r="K158" s="7">
        <v>5</v>
      </c>
      <c r="L158" s="7" t="s">
        <v>223</v>
      </c>
      <c r="M158" s="7" t="s">
        <v>41</v>
      </c>
      <c r="N158" s="7" t="s">
        <v>58</v>
      </c>
      <c r="O158" s="73">
        <v>25</v>
      </c>
      <c r="P158" s="68">
        <f t="shared" si="76"/>
        <v>0</v>
      </c>
      <c r="Q158" s="68">
        <f t="shared" si="77"/>
        <v>2.6666666666666666E-3</v>
      </c>
      <c r="R158" s="68">
        <f t="shared" si="78"/>
        <v>9.3333333333333324E-3</v>
      </c>
      <c r="S158" s="68">
        <f t="shared" si="79"/>
        <v>9.3333333333333324E-3</v>
      </c>
      <c r="T158" s="68">
        <f t="shared" si="80"/>
        <v>9.3333333333333324E-3</v>
      </c>
      <c r="U158" s="68">
        <f t="shared" si="81"/>
        <v>9.2499999999999995E-3</v>
      </c>
      <c r="V158" s="68">
        <f t="shared" si="82"/>
        <v>9.2499999999999995E-3</v>
      </c>
    </row>
    <row r="159" spans="1:22" s="7" customFormat="1">
      <c r="A159" s="144" t="s">
        <v>481</v>
      </c>
      <c r="B159" s="7" t="s">
        <v>42</v>
      </c>
      <c r="C159" s="120">
        <v>7.22</v>
      </c>
      <c r="D159" s="120">
        <v>2.407</v>
      </c>
      <c r="E159" s="120">
        <v>0</v>
      </c>
      <c r="F159" s="120">
        <v>0</v>
      </c>
      <c r="G159" s="120">
        <v>0</v>
      </c>
      <c r="H159" s="120">
        <v>0</v>
      </c>
      <c r="I159" s="120">
        <v>0</v>
      </c>
      <c r="J159" s="7">
        <v>60</v>
      </c>
      <c r="K159" s="7">
        <v>5</v>
      </c>
      <c r="L159" s="7" t="s">
        <v>223</v>
      </c>
      <c r="M159" s="7" t="s">
        <v>28</v>
      </c>
      <c r="N159" s="10" t="s">
        <v>59</v>
      </c>
      <c r="O159" s="73">
        <v>50</v>
      </c>
      <c r="P159" s="68">
        <f t="shared" si="76"/>
        <v>6.0166666666666666</v>
      </c>
      <c r="Q159" s="68">
        <f t="shared" si="77"/>
        <v>2.0058333333333334</v>
      </c>
      <c r="R159" s="68">
        <f t="shared" si="78"/>
        <v>0</v>
      </c>
      <c r="S159" s="68">
        <f t="shared" si="79"/>
        <v>0</v>
      </c>
      <c r="T159" s="68">
        <f t="shared" si="80"/>
        <v>0</v>
      </c>
      <c r="U159" s="68">
        <f t="shared" si="81"/>
        <v>0</v>
      </c>
      <c r="V159" s="68">
        <f t="shared" si="82"/>
        <v>0</v>
      </c>
    </row>
    <row r="160" spans="1:22" s="7" customFormat="1">
      <c r="A160" s="144" t="s">
        <v>482</v>
      </c>
      <c r="B160" s="7" t="s">
        <v>43</v>
      </c>
      <c r="C160" s="120">
        <v>28.818999999999999</v>
      </c>
      <c r="D160" s="120">
        <v>25.052</v>
      </c>
      <c r="E160" s="120">
        <v>23.058</v>
      </c>
      <c r="F160" s="120">
        <v>22.957000000000001</v>
      </c>
      <c r="G160" s="120">
        <v>22.957000000000001</v>
      </c>
      <c r="H160" s="120">
        <v>22.957000000000001</v>
      </c>
      <c r="I160" s="120">
        <v>22.957000000000001</v>
      </c>
      <c r="J160" s="7">
        <v>100</v>
      </c>
      <c r="K160" s="7">
        <v>5</v>
      </c>
      <c r="L160" s="7" t="s">
        <v>223</v>
      </c>
      <c r="M160" s="7" t="s">
        <v>44</v>
      </c>
      <c r="N160" s="7" t="s">
        <v>58</v>
      </c>
      <c r="O160" s="73">
        <v>100</v>
      </c>
      <c r="P160" s="68">
        <f t="shared" si="76"/>
        <v>28.818999999999999</v>
      </c>
      <c r="Q160" s="68">
        <f t="shared" si="77"/>
        <v>25.052</v>
      </c>
      <c r="R160" s="68">
        <f t="shared" si="78"/>
        <v>23.058</v>
      </c>
      <c r="S160" s="68">
        <f t="shared" si="79"/>
        <v>22.957000000000001</v>
      </c>
      <c r="T160" s="68">
        <f t="shared" si="80"/>
        <v>22.957000000000001</v>
      </c>
      <c r="U160" s="68">
        <f t="shared" si="81"/>
        <v>22.957000000000001</v>
      </c>
      <c r="V160" s="68">
        <f t="shared" si="82"/>
        <v>22.957000000000001</v>
      </c>
    </row>
    <row r="161" spans="1:22" s="7" customFormat="1">
      <c r="A161" s="144" t="s">
        <v>481</v>
      </c>
      <c r="B161" s="7" t="s">
        <v>4</v>
      </c>
      <c r="C161" s="120">
        <f>0.152+1.141+0.521</f>
        <v>1.8140000000000001</v>
      </c>
      <c r="D161" s="120">
        <f>0.195+1.987+0.687</f>
        <v>2.8689999999999998</v>
      </c>
      <c r="E161" s="120">
        <f>1.974</f>
        <v>1.974</v>
      </c>
      <c r="F161" s="120">
        <f>1.976</f>
        <v>1.976</v>
      </c>
      <c r="G161" s="120">
        <f>1.976</f>
        <v>1.976</v>
      </c>
      <c r="H161" s="120">
        <f>1.976</f>
        <v>1.976</v>
      </c>
      <c r="I161" s="120">
        <f>1.976</f>
        <v>1.976</v>
      </c>
      <c r="J161" s="7">
        <v>100</v>
      </c>
      <c r="K161" s="7">
        <v>5</v>
      </c>
      <c r="L161" s="7" t="s">
        <v>223</v>
      </c>
      <c r="M161" s="7" t="s">
        <v>20</v>
      </c>
      <c r="N161" s="7" t="s">
        <v>59</v>
      </c>
      <c r="O161" s="73">
        <v>0</v>
      </c>
      <c r="P161" s="68">
        <f t="shared" ref="P161:P162" si="90">+$O161/$J161*C161</f>
        <v>0</v>
      </c>
      <c r="Q161" s="68">
        <f t="shared" ref="Q161:Q162" si="91">+$O161/$J161*D161</f>
        <v>0</v>
      </c>
      <c r="R161" s="68">
        <f t="shared" ref="R161:R162" si="92">+$O161/$J161*E161</f>
        <v>0</v>
      </c>
      <c r="S161" s="68">
        <f t="shared" ref="S161:S162" si="93">+$O161/$J161*F161</f>
        <v>0</v>
      </c>
      <c r="T161" s="68">
        <f t="shared" ref="T161:T162" si="94">+$O161/$J161*G161</f>
        <v>0</v>
      </c>
      <c r="U161" s="68">
        <f t="shared" ref="U161:U162" si="95">+$O161/$J161*H161</f>
        <v>0</v>
      </c>
      <c r="V161" s="68">
        <f t="shared" ref="V161:V162" si="96">+$O161/$J161*I161</f>
        <v>0</v>
      </c>
    </row>
    <row r="162" spans="1:22" s="7" customFormat="1">
      <c r="A162" s="144" t="s">
        <v>483</v>
      </c>
      <c r="B162" s="7" t="s">
        <v>484</v>
      </c>
      <c r="C162" s="120">
        <v>1.349</v>
      </c>
      <c r="D162" s="120">
        <v>4.4459999999999997</v>
      </c>
      <c r="E162" s="120">
        <v>4.5940000000000003</v>
      </c>
      <c r="F162" s="120">
        <v>4.5940000000000003</v>
      </c>
      <c r="G162" s="120">
        <v>4.5940000000000003</v>
      </c>
      <c r="H162" s="120">
        <v>4.5940000000000003</v>
      </c>
      <c r="I162" s="120">
        <v>4.5940000000000003</v>
      </c>
      <c r="J162" s="7">
        <v>100</v>
      </c>
      <c r="K162" s="7">
        <v>5</v>
      </c>
      <c r="L162" s="7" t="s">
        <v>223</v>
      </c>
      <c r="M162" s="7" t="s">
        <v>22</v>
      </c>
      <c r="N162" s="7" t="s">
        <v>58</v>
      </c>
      <c r="O162" s="73">
        <v>50</v>
      </c>
      <c r="P162" s="68">
        <f t="shared" si="90"/>
        <v>0.67449999999999999</v>
      </c>
      <c r="Q162" s="68">
        <f t="shared" si="91"/>
        <v>2.2229999999999999</v>
      </c>
      <c r="R162" s="68">
        <f t="shared" si="92"/>
        <v>2.2970000000000002</v>
      </c>
      <c r="S162" s="68">
        <f t="shared" si="93"/>
        <v>2.2970000000000002</v>
      </c>
      <c r="T162" s="68">
        <f t="shared" si="94"/>
        <v>2.2970000000000002</v>
      </c>
      <c r="U162" s="68">
        <f t="shared" si="95"/>
        <v>2.2970000000000002</v>
      </c>
      <c r="V162" s="68">
        <f t="shared" si="96"/>
        <v>2.2970000000000002</v>
      </c>
    </row>
    <row r="163" spans="1:22" s="7" customFormat="1" ht="15">
      <c r="A163" s="87" t="s">
        <v>486</v>
      </c>
      <c r="B163" s="149" t="s">
        <v>485</v>
      </c>
      <c r="C163" s="120"/>
      <c r="D163" s="120"/>
      <c r="E163" s="120"/>
      <c r="F163" s="120"/>
      <c r="G163" s="120"/>
      <c r="H163" s="120"/>
      <c r="I163" s="120"/>
      <c r="O163" s="73"/>
      <c r="P163" s="68"/>
      <c r="Q163" s="68"/>
      <c r="R163" s="68"/>
      <c r="S163" s="68"/>
      <c r="T163" s="68"/>
      <c r="U163" s="68"/>
      <c r="V163" s="68"/>
    </row>
    <row r="164" spans="1:22" s="7" customFormat="1">
      <c r="A164" s="144" t="s">
        <v>488</v>
      </c>
      <c r="B164" s="7" t="s">
        <v>487</v>
      </c>
      <c r="C164" s="120">
        <v>0</v>
      </c>
      <c r="D164" s="120">
        <v>6.0960000000000001</v>
      </c>
      <c r="E164" s="120">
        <v>7</v>
      </c>
      <c r="F164" s="120">
        <v>7</v>
      </c>
      <c r="G164" s="120">
        <v>7</v>
      </c>
      <c r="H164" s="120">
        <v>7</v>
      </c>
      <c r="I164" s="120">
        <v>6</v>
      </c>
      <c r="J164" s="7">
        <v>100</v>
      </c>
      <c r="K164" s="7">
        <v>5</v>
      </c>
      <c r="L164" s="7" t="s">
        <v>223</v>
      </c>
      <c r="M164" s="7" t="s">
        <v>489</v>
      </c>
      <c r="N164" s="7" t="s">
        <v>59</v>
      </c>
      <c r="O164" s="73">
        <v>0</v>
      </c>
      <c r="P164" s="68">
        <f t="shared" ref="P164" si="97">+$O164/$J164*C164</f>
        <v>0</v>
      </c>
      <c r="Q164" s="68">
        <f t="shared" ref="Q164" si="98">+$O164/$J164*D164</f>
        <v>0</v>
      </c>
      <c r="R164" s="68">
        <f t="shared" ref="R164" si="99">+$O164/$J164*E164</f>
        <v>0</v>
      </c>
      <c r="S164" s="68">
        <f t="shared" ref="S164" si="100">+$O164/$J164*F164</f>
        <v>0</v>
      </c>
      <c r="T164" s="68">
        <f t="shared" ref="T164" si="101">+$O164/$J164*G164</f>
        <v>0</v>
      </c>
      <c r="U164" s="68">
        <f t="shared" ref="U164" si="102">+$O164/$J164*H164</f>
        <v>0</v>
      </c>
      <c r="V164" s="68">
        <f t="shared" ref="V164" si="103">+$O164/$J164*I164</f>
        <v>0</v>
      </c>
    </row>
    <row r="165" spans="1:22" s="87" customFormat="1" ht="15">
      <c r="A165" s="87" t="s">
        <v>490</v>
      </c>
      <c r="B165" s="149" t="s">
        <v>45</v>
      </c>
      <c r="C165" s="151"/>
      <c r="D165" s="151"/>
      <c r="E165" s="151"/>
      <c r="F165" s="151"/>
      <c r="G165" s="151"/>
      <c r="H165" s="151"/>
      <c r="I165" s="151"/>
      <c r="L165" s="23"/>
      <c r="O165" s="152"/>
      <c r="P165" s="193">
        <f>+SUM(P166:P174)</f>
        <v>113.22899999999998</v>
      </c>
      <c r="Q165" s="193">
        <f t="shared" ref="Q165:V165" si="104">+SUM(Q166:Q174)</f>
        <v>113.1705</v>
      </c>
      <c r="R165" s="193">
        <f t="shared" si="104"/>
        <v>102.48500000000001</v>
      </c>
      <c r="S165" s="193">
        <f t="shared" si="104"/>
        <v>93.998999999999995</v>
      </c>
      <c r="T165" s="193">
        <f t="shared" si="104"/>
        <v>89.535499999999985</v>
      </c>
      <c r="U165" s="193">
        <f t="shared" si="104"/>
        <v>89.141500000000008</v>
      </c>
      <c r="V165" s="193">
        <f t="shared" si="104"/>
        <v>89.034500000000008</v>
      </c>
    </row>
    <row r="166" spans="1:22" s="7" customFormat="1">
      <c r="A166" s="145" t="s">
        <v>491</v>
      </c>
      <c r="B166" s="10" t="s">
        <v>394</v>
      </c>
      <c r="C166" s="65">
        <v>0.64</v>
      </c>
      <c r="D166" s="65">
        <v>0.9</v>
      </c>
      <c r="E166" s="65">
        <v>1.5</v>
      </c>
      <c r="F166" s="65">
        <v>1.5</v>
      </c>
      <c r="G166" s="65">
        <v>1.5</v>
      </c>
      <c r="H166" s="65">
        <v>1.5</v>
      </c>
      <c r="I166" s="65">
        <v>1.5</v>
      </c>
      <c r="J166" s="10">
        <v>100</v>
      </c>
      <c r="K166" s="11">
        <v>6</v>
      </c>
      <c r="L166" s="10" t="s">
        <v>224</v>
      </c>
      <c r="M166" s="10" t="s">
        <v>9</v>
      </c>
      <c r="N166" s="10" t="s">
        <v>59</v>
      </c>
      <c r="O166" s="73">
        <v>100</v>
      </c>
      <c r="P166" s="68">
        <f t="shared" ref="P166" si="105">+$O166/100*C166</f>
        <v>0.64</v>
      </c>
      <c r="Q166" s="68">
        <f t="shared" ref="Q166" si="106">+$O166/100*D166</f>
        <v>0.9</v>
      </c>
      <c r="R166" s="68">
        <f t="shared" ref="R166" si="107">+$O166/100*E166</f>
        <v>1.5</v>
      </c>
      <c r="S166" s="68">
        <f t="shared" ref="S166" si="108">+$O166/100*F166</f>
        <v>1.5</v>
      </c>
      <c r="T166" s="68">
        <f t="shared" ref="T166" si="109">+$O166/100*G166</f>
        <v>1.5</v>
      </c>
      <c r="U166" s="68">
        <f t="shared" ref="U166" si="110">+$O166/100*H166</f>
        <v>1.5</v>
      </c>
      <c r="V166" s="68">
        <f t="shared" ref="V166" si="111">+$O166/100*I166</f>
        <v>1.5</v>
      </c>
    </row>
    <row r="167" spans="1:22" s="7" customFormat="1">
      <c r="A167" s="145" t="s">
        <v>491</v>
      </c>
      <c r="B167" s="10" t="s">
        <v>336</v>
      </c>
      <c r="C167" s="65">
        <v>0.25</v>
      </c>
      <c r="D167" s="65">
        <v>0.2</v>
      </c>
      <c r="E167" s="65">
        <v>0.1</v>
      </c>
      <c r="F167" s="65">
        <v>0.1</v>
      </c>
      <c r="G167" s="65">
        <v>0.1</v>
      </c>
      <c r="H167" s="65">
        <v>0.1</v>
      </c>
      <c r="I167" s="65">
        <v>0.1</v>
      </c>
      <c r="J167" s="10">
        <v>100</v>
      </c>
      <c r="K167" s="10">
        <v>6</v>
      </c>
      <c r="L167" s="10" t="s">
        <v>224</v>
      </c>
      <c r="M167" s="10" t="s">
        <v>9</v>
      </c>
      <c r="N167" s="10" t="s">
        <v>59</v>
      </c>
      <c r="O167" s="73">
        <v>100</v>
      </c>
      <c r="P167" s="68">
        <f>+$O167/100*C167</f>
        <v>0.25</v>
      </c>
      <c r="Q167" s="68">
        <v>0.15</v>
      </c>
      <c r="R167" s="68">
        <v>0.94</v>
      </c>
      <c r="S167" s="68">
        <v>0.94</v>
      </c>
      <c r="T167" s="68">
        <v>0.94</v>
      </c>
      <c r="U167" s="68">
        <v>0.94</v>
      </c>
      <c r="V167" s="68">
        <v>0.94</v>
      </c>
    </row>
    <row r="168" spans="1:22" s="7" customFormat="1">
      <c r="A168" s="145" t="s">
        <v>493</v>
      </c>
      <c r="B168" s="9" t="s">
        <v>46</v>
      </c>
      <c r="C168" s="118">
        <f>16.799+3.889</f>
        <v>20.687999999999999</v>
      </c>
      <c r="D168" s="118">
        <f>16.794+3.971</f>
        <v>20.765000000000001</v>
      </c>
      <c r="E168" s="118">
        <f>9.513+3.945</f>
        <v>13.458</v>
      </c>
      <c r="F168" s="118">
        <f>9.513+3.945</f>
        <v>13.458</v>
      </c>
      <c r="G168" s="118">
        <f>9.513+3.945</f>
        <v>13.458</v>
      </c>
      <c r="H168" s="118">
        <f>9.513+3.945</f>
        <v>13.458</v>
      </c>
      <c r="I168" s="118">
        <f>9.513+3.945</f>
        <v>13.458</v>
      </c>
      <c r="J168" s="10">
        <v>100</v>
      </c>
      <c r="K168" s="191" t="s">
        <v>492</v>
      </c>
      <c r="L168" s="10" t="s">
        <v>220</v>
      </c>
      <c r="M168" s="10" t="s">
        <v>47</v>
      </c>
      <c r="N168" s="10" t="s">
        <v>58</v>
      </c>
      <c r="O168" s="73">
        <v>50</v>
      </c>
      <c r="P168" s="68">
        <f t="shared" ref="P168:T171" si="112">+$O168/100*C168</f>
        <v>10.343999999999999</v>
      </c>
      <c r="Q168" s="68">
        <f t="shared" si="112"/>
        <v>10.3825</v>
      </c>
      <c r="R168" s="68">
        <f t="shared" si="112"/>
        <v>6.7290000000000001</v>
      </c>
      <c r="S168" s="68">
        <f t="shared" si="112"/>
        <v>6.7290000000000001</v>
      </c>
      <c r="T168" s="68">
        <f t="shared" si="112"/>
        <v>6.7290000000000001</v>
      </c>
      <c r="U168" s="68">
        <f t="shared" ref="U168:V168" si="113">+$O168/100*H168</f>
        <v>6.7290000000000001</v>
      </c>
      <c r="V168" s="68">
        <f t="shared" si="113"/>
        <v>6.7290000000000001</v>
      </c>
    </row>
    <row r="169" spans="1:22" s="7" customFormat="1">
      <c r="A169" s="145" t="s">
        <v>493</v>
      </c>
      <c r="B169" s="9" t="s">
        <v>221</v>
      </c>
      <c r="C169" s="65">
        <v>54.533000000000001</v>
      </c>
      <c r="D169" s="65">
        <v>56.014000000000003</v>
      </c>
      <c r="E169" s="65">
        <v>62.06</v>
      </c>
      <c r="F169" s="65">
        <v>59.655000000000001</v>
      </c>
      <c r="G169" s="65">
        <v>59.655000000000001</v>
      </c>
      <c r="H169" s="65">
        <v>59.655000000000001</v>
      </c>
      <c r="I169" s="65">
        <v>59.655000000000001</v>
      </c>
      <c r="J169" s="10">
        <v>100</v>
      </c>
      <c r="K169" s="191" t="s">
        <v>492</v>
      </c>
      <c r="L169" s="10" t="s">
        <v>220</v>
      </c>
      <c r="M169" s="10" t="s">
        <v>47</v>
      </c>
      <c r="N169" s="10" t="s">
        <v>58</v>
      </c>
      <c r="O169" s="73">
        <v>50</v>
      </c>
      <c r="P169" s="68">
        <f t="shared" si="112"/>
        <v>27.266500000000001</v>
      </c>
      <c r="Q169" s="68">
        <f t="shared" si="112"/>
        <v>28.007000000000001</v>
      </c>
      <c r="R169" s="68">
        <f t="shared" si="112"/>
        <v>31.03</v>
      </c>
      <c r="S169" s="68">
        <f t="shared" si="112"/>
        <v>29.827500000000001</v>
      </c>
      <c r="T169" s="68">
        <f t="shared" si="112"/>
        <v>29.827500000000001</v>
      </c>
      <c r="U169" s="68">
        <f t="shared" ref="U169:V171" si="114">+$O169/100*H169</f>
        <v>29.827500000000001</v>
      </c>
      <c r="V169" s="68">
        <f t="shared" si="114"/>
        <v>29.827500000000001</v>
      </c>
    </row>
    <row r="170" spans="1:22" s="7" customFormat="1">
      <c r="A170" s="145" t="s">
        <v>493</v>
      </c>
      <c r="B170" s="9" t="s">
        <v>48</v>
      </c>
      <c r="C170" s="65">
        <v>30.766999999999999</v>
      </c>
      <c r="D170" s="65">
        <v>27.17</v>
      </c>
      <c r="E170" s="65">
        <v>14.98</v>
      </c>
      <c r="F170" s="65">
        <v>11.865</v>
      </c>
      <c r="G170" s="65">
        <v>11.228</v>
      </c>
      <c r="H170" s="65">
        <v>11.19</v>
      </c>
      <c r="I170" s="65">
        <v>11.19</v>
      </c>
      <c r="J170" s="10">
        <v>100</v>
      </c>
      <c r="K170" s="10">
        <v>8</v>
      </c>
      <c r="L170" s="10" t="s">
        <v>222</v>
      </c>
      <c r="M170" s="10" t="s">
        <v>47</v>
      </c>
      <c r="N170" s="10" t="s">
        <v>58</v>
      </c>
      <c r="O170" s="73">
        <v>50</v>
      </c>
      <c r="P170" s="68">
        <f t="shared" si="112"/>
        <v>15.3835</v>
      </c>
      <c r="Q170" s="68">
        <f t="shared" si="112"/>
        <v>13.585000000000001</v>
      </c>
      <c r="R170" s="68">
        <f t="shared" si="112"/>
        <v>7.49</v>
      </c>
      <c r="S170" s="68">
        <f t="shared" si="112"/>
        <v>5.9325000000000001</v>
      </c>
      <c r="T170" s="68">
        <f t="shared" si="112"/>
        <v>5.6139999999999999</v>
      </c>
      <c r="U170" s="68">
        <f t="shared" si="114"/>
        <v>5.5949999999999998</v>
      </c>
      <c r="V170" s="68">
        <f t="shared" si="114"/>
        <v>5.5949999999999998</v>
      </c>
    </row>
    <row r="171" spans="1:22" s="7" customFormat="1">
      <c r="A171" s="145" t="s">
        <v>493</v>
      </c>
      <c r="B171" s="9" t="s">
        <v>49</v>
      </c>
      <c r="C171" s="65">
        <v>52.143999999999998</v>
      </c>
      <c r="D171" s="65">
        <v>48.042999999999999</v>
      </c>
      <c r="E171" s="65">
        <v>43.067999999999998</v>
      </c>
      <c r="F171" s="65">
        <v>40.956000000000003</v>
      </c>
      <c r="G171" s="65">
        <v>39.895000000000003</v>
      </c>
      <c r="H171" s="65">
        <v>39.895000000000003</v>
      </c>
      <c r="I171" s="65">
        <v>39.895000000000003</v>
      </c>
      <c r="J171" s="10">
        <v>100</v>
      </c>
      <c r="K171" s="10">
        <v>8</v>
      </c>
      <c r="L171" s="10" t="s">
        <v>222</v>
      </c>
      <c r="M171" s="10" t="s">
        <v>47</v>
      </c>
      <c r="N171" s="10" t="s">
        <v>58</v>
      </c>
      <c r="O171" s="73">
        <v>100</v>
      </c>
      <c r="P171" s="68">
        <f t="shared" si="112"/>
        <v>52.143999999999998</v>
      </c>
      <c r="Q171" s="68">
        <f t="shared" si="112"/>
        <v>48.042999999999999</v>
      </c>
      <c r="R171" s="68">
        <f t="shared" si="112"/>
        <v>43.067999999999998</v>
      </c>
      <c r="S171" s="68">
        <f t="shared" si="112"/>
        <v>40.956000000000003</v>
      </c>
      <c r="T171" s="68">
        <f t="shared" si="112"/>
        <v>39.895000000000003</v>
      </c>
      <c r="U171" s="68">
        <f t="shared" si="114"/>
        <v>39.895000000000003</v>
      </c>
      <c r="V171" s="68">
        <f t="shared" si="114"/>
        <v>39.895000000000003</v>
      </c>
    </row>
    <row r="172" spans="1:22" s="7" customFormat="1">
      <c r="A172" s="145" t="s">
        <v>493</v>
      </c>
      <c r="B172" s="10" t="s">
        <v>50</v>
      </c>
      <c r="C172" s="65">
        <v>0</v>
      </c>
      <c r="D172" s="65">
        <v>0</v>
      </c>
      <c r="E172" s="65">
        <v>0</v>
      </c>
      <c r="F172" s="65">
        <v>1.8959999999999999</v>
      </c>
      <c r="G172" s="65">
        <v>1.8959999999999999</v>
      </c>
      <c r="H172" s="65">
        <v>1.8959999999999999</v>
      </c>
      <c r="I172" s="65">
        <v>1.8959999999999999</v>
      </c>
      <c r="J172" s="10">
        <v>100</v>
      </c>
      <c r="K172" s="10">
        <v>8</v>
      </c>
      <c r="L172" s="10" t="s">
        <v>222</v>
      </c>
      <c r="M172" s="10" t="s">
        <v>51</v>
      </c>
      <c r="N172" s="10" t="s">
        <v>59</v>
      </c>
      <c r="O172" s="73">
        <v>50</v>
      </c>
      <c r="P172" s="68">
        <f>+$O172/100*C172</f>
        <v>0</v>
      </c>
      <c r="Q172" s="68">
        <v>0.15</v>
      </c>
      <c r="R172" s="68">
        <v>0.94</v>
      </c>
      <c r="S172" s="68">
        <v>0.94</v>
      </c>
      <c r="T172" s="68">
        <v>0.94</v>
      </c>
      <c r="U172" s="68">
        <v>0.94</v>
      </c>
      <c r="V172" s="68">
        <v>0.94</v>
      </c>
    </row>
    <row r="173" spans="1:22" s="7" customFormat="1">
      <c r="A173" s="145" t="s">
        <v>493</v>
      </c>
      <c r="B173" s="10" t="s">
        <v>395</v>
      </c>
      <c r="C173" s="65">
        <f>3.674+2.56+1.555+3.332+3.697+1.667+0.238</f>
        <v>16.722999999999999</v>
      </c>
      <c r="D173" s="65">
        <f>1.78+2.808+2.183+0.136+1.345+0.008</f>
        <v>8.26</v>
      </c>
      <c r="E173" s="65">
        <f>1.242+2.908+1.658+0.201+1.919+0.008</f>
        <v>7.9359999999999991</v>
      </c>
      <c r="F173" s="65">
        <f>1.473+2.9+1.815+0.201+1.619+0.008</f>
        <v>8.016</v>
      </c>
      <c r="G173" s="65">
        <f>1.965+2.9+1.816+0.201+1.618+0.008</f>
        <v>8.5079999999999991</v>
      </c>
      <c r="H173" s="65">
        <f>2.003+2.9+1.601+0.201+1.619+0.008</f>
        <v>8.331999999999999</v>
      </c>
      <c r="I173" s="65">
        <f>2.003+2.9+1.601+0.201+2.354+0.008</f>
        <v>9.0670000000000002</v>
      </c>
      <c r="J173" s="10">
        <v>100</v>
      </c>
      <c r="K173" s="11">
        <v>8</v>
      </c>
      <c r="L173" s="10" t="s">
        <v>222</v>
      </c>
      <c r="M173" s="10" t="s">
        <v>14</v>
      </c>
      <c r="N173" s="10" t="s">
        <v>59</v>
      </c>
      <c r="O173" s="73">
        <v>30</v>
      </c>
      <c r="P173" s="68">
        <v>7.2009999999999996</v>
      </c>
      <c r="Q173" s="68">
        <v>7.5060000000000002</v>
      </c>
      <c r="R173" s="68">
        <v>6.016</v>
      </c>
      <c r="S173" s="68">
        <v>3.7410000000000001</v>
      </c>
      <c r="T173" s="68">
        <v>3.5169999999999999</v>
      </c>
      <c r="U173" s="68">
        <v>3.4940000000000002</v>
      </c>
      <c r="V173" s="68">
        <v>3.4940000000000002</v>
      </c>
    </row>
    <row r="174" spans="1:22" s="7" customFormat="1">
      <c r="A174" s="145" t="s">
        <v>493</v>
      </c>
      <c r="B174" s="10" t="s">
        <v>494</v>
      </c>
      <c r="C174" s="65">
        <v>0</v>
      </c>
      <c r="D174" s="65">
        <v>4.4470000000000001</v>
      </c>
      <c r="E174" s="65">
        <v>4.7720000000000002</v>
      </c>
      <c r="F174" s="65">
        <v>3.4329999999999998</v>
      </c>
      <c r="G174" s="65">
        <v>0.57299999999999995</v>
      </c>
      <c r="H174" s="65">
        <v>0.221</v>
      </c>
      <c r="I174" s="65">
        <v>0.114</v>
      </c>
      <c r="J174" s="10">
        <v>100</v>
      </c>
      <c r="K174" s="11">
        <v>8</v>
      </c>
      <c r="L174" s="10" t="s">
        <v>222</v>
      </c>
      <c r="M174" s="10" t="s">
        <v>14</v>
      </c>
      <c r="N174" s="10" t="s">
        <v>59</v>
      </c>
      <c r="O174" s="73">
        <v>100</v>
      </c>
      <c r="P174" s="68">
        <f t="shared" ref="P174" si="115">+$O174/100*C174</f>
        <v>0</v>
      </c>
      <c r="Q174" s="68">
        <f t="shared" ref="Q174" si="116">+$O174/100*D174</f>
        <v>4.4470000000000001</v>
      </c>
      <c r="R174" s="68">
        <f t="shared" ref="R174" si="117">+$O174/100*E174</f>
        <v>4.7720000000000002</v>
      </c>
      <c r="S174" s="68">
        <f t="shared" ref="S174" si="118">+$O174/100*F174</f>
        <v>3.4329999999999998</v>
      </c>
      <c r="T174" s="68">
        <f t="shared" ref="T174" si="119">+$O174/100*G174</f>
        <v>0.57299999999999995</v>
      </c>
      <c r="U174" s="68">
        <f t="shared" ref="U174" si="120">+$O174/100*H174</f>
        <v>0.221</v>
      </c>
      <c r="V174" s="68">
        <f t="shared" ref="V174" si="121">+$O174/100*I174</f>
        <v>0.114</v>
      </c>
    </row>
    <row r="175" spans="1:22" s="87" customFormat="1" ht="15">
      <c r="A175" s="87" t="s">
        <v>90</v>
      </c>
      <c r="B175" s="149" t="s">
        <v>52</v>
      </c>
      <c r="C175" s="151"/>
      <c r="D175" s="151"/>
      <c r="E175" s="151"/>
      <c r="F175" s="151"/>
      <c r="G175" s="151"/>
      <c r="H175" s="151"/>
      <c r="I175" s="151"/>
      <c r="L175" s="23"/>
      <c r="O175" s="152"/>
      <c r="P175" s="188">
        <f>+P176</f>
        <v>0</v>
      </c>
      <c r="Q175" s="188">
        <f t="shared" ref="Q175:V175" si="122">+Q176</f>
        <v>0</v>
      </c>
      <c r="R175" s="188">
        <f t="shared" si="122"/>
        <v>0</v>
      </c>
      <c r="S175" s="188">
        <f t="shared" si="122"/>
        <v>0</v>
      </c>
      <c r="T175" s="188">
        <f t="shared" si="122"/>
        <v>0</v>
      </c>
      <c r="U175" s="188">
        <f t="shared" si="122"/>
        <v>0</v>
      </c>
      <c r="V175" s="188">
        <f t="shared" si="122"/>
        <v>0</v>
      </c>
    </row>
    <row r="176" spans="1:22" s="7" customFormat="1">
      <c r="A176" s="144">
        <v>40</v>
      </c>
      <c r="B176" s="7" t="s">
        <v>53</v>
      </c>
      <c r="C176" s="120">
        <v>3.7192500000000002</v>
      </c>
      <c r="D176" s="120">
        <v>4.39175</v>
      </c>
      <c r="E176" s="120">
        <v>3.87025</v>
      </c>
      <c r="F176" s="120">
        <v>3.32525</v>
      </c>
      <c r="G176" s="120">
        <v>3.3105000000000002</v>
      </c>
      <c r="H176" s="120">
        <v>3.3105000000000002</v>
      </c>
      <c r="I176" s="120">
        <v>3.3105000000000002</v>
      </c>
      <c r="J176" s="7">
        <v>25</v>
      </c>
      <c r="K176" s="7">
        <v>11</v>
      </c>
      <c r="L176" s="143" t="s">
        <v>88</v>
      </c>
      <c r="M176" s="7" t="s">
        <v>11</v>
      </c>
      <c r="N176" s="10" t="s">
        <v>58</v>
      </c>
      <c r="O176" s="73">
        <v>0</v>
      </c>
      <c r="P176" s="68">
        <f>+$O176/100*C176</f>
        <v>0</v>
      </c>
      <c r="Q176" s="68">
        <f>+$O176/100*D176</f>
        <v>0</v>
      </c>
      <c r="R176" s="68">
        <f>+$O176/100*E176</f>
        <v>0</v>
      </c>
      <c r="S176" s="68">
        <f>+$O176/100*F176</f>
        <v>0</v>
      </c>
      <c r="T176" s="68">
        <f>+$O176/100*G176</f>
        <v>0</v>
      </c>
      <c r="U176" s="68">
        <f t="shared" ref="U176" si="123">+$O176/100*H176</f>
        <v>0</v>
      </c>
      <c r="V176" s="68">
        <f t="shared" ref="V176" si="124">+$O176/100*I176</f>
        <v>0</v>
      </c>
    </row>
    <row r="177" spans="1:22" s="3" customFormat="1" ht="15">
      <c r="A177" s="87"/>
      <c r="B177" s="3" t="s">
        <v>54</v>
      </c>
      <c r="C177" s="12">
        <f>SUM(C107:C176)</f>
        <v>835.66549999999995</v>
      </c>
      <c r="D177" s="12">
        <f t="shared" ref="D177:I177" si="125">SUM(D107:D176)</f>
        <v>906.38279999999986</v>
      </c>
      <c r="E177" s="12">
        <f t="shared" si="125"/>
        <v>829.72180000000014</v>
      </c>
      <c r="F177" s="12">
        <f t="shared" si="125"/>
        <v>838.92630000000008</v>
      </c>
      <c r="G177" s="12">
        <f t="shared" si="125"/>
        <v>819.66970000000003</v>
      </c>
      <c r="H177" s="12">
        <f t="shared" si="125"/>
        <v>831.95005000000015</v>
      </c>
      <c r="I177" s="12">
        <f t="shared" si="125"/>
        <v>827.48485000000028</v>
      </c>
      <c r="L177" s="1"/>
      <c r="O177" s="72"/>
      <c r="P177" s="6">
        <f t="shared" ref="P177:V177" si="126">SUM(P106,P111,P142,P150,P165)</f>
        <v>701.73235238095231</v>
      </c>
      <c r="Q177" s="6">
        <f t="shared" si="126"/>
        <v>775.27509999999984</v>
      </c>
      <c r="R177" s="6">
        <f t="shared" si="126"/>
        <v>708.89578333333327</v>
      </c>
      <c r="S177" s="6">
        <f t="shared" si="126"/>
        <v>715.19363333333331</v>
      </c>
      <c r="T177" s="6">
        <f t="shared" si="126"/>
        <v>698.37603333333323</v>
      </c>
      <c r="U177" s="6">
        <f t="shared" si="126"/>
        <v>707.47704999999996</v>
      </c>
      <c r="V177" s="6">
        <f t="shared" si="126"/>
        <v>703.22434999999984</v>
      </c>
    </row>
    <row r="178" spans="1:22" s="179" customFormat="1">
      <c r="C178" s="225"/>
      <c r="D178" s="225"/>
      <c r="E178" s="225"/>
      <c r="F178" s="225"/>
      <c r="G178" s="225"/>
      <c r="H178" s="225"/>
      <c r="I178" s="225"/>
      <c r="M178" s="4"/>
      <c r="O178" s="180"/>
      <c r="P178" s="181"/>
      <c r="Q178" s="181"/>
      <c r="R178" s="181"/>
      <c r="S178" s="181"/>
      <c r="T178" s="181"/>
      <c r="U178" s="181"/>
      <c r="V178" s="181"/>
    </row>
    <row r="179" spans="1:22" ht="15">
      <c r="A179" s="32"/>
      <c r="B179" s="29" t="s">
        <v>113</v>
      </c>
      <c r="C179" s="63"/>
      <c r="D179" s="63"/>
      <c r="E179" s="63"/>
      <c r="F179" s="63"/>
      <c r="G179" s="63"/>
      <c r="H179" s="63"/>
      <c r="I179" s="63"/>
      <c r="J179" s="29"/>
      <c r="K179" s="31"/>
      <c r="L179" s="112"/>
      <c r="M179" s="29"/>
      <c r="N179" s="29"/>
      <c r="O179" s="29"/>
    </row>
    <row r="180" spans="1:22">
      <c r="A180" s="7">
        <v>1</v>
      </c>
      <c r="B180" s="4" t="s">
        <v>453</v>
      </c>
      <c r="C180" s="62"/>
      <c r="D180" s="62">
        <v>3.7749999999999999</v>
      </c>
      <c r="E180" s="62">
        <v>3.7749999999999999</v>
      </c>
      <c r="F180" s="62">
        <v>3.7749999999999999</v>
      </c>
      <c r="G180" s="62">
        <v>3.7749999999999999</v>
      </c>
      <c r="H180" s="62">
        <v>3.7749999999999999</v>
      </c>
      <c r="I180" s="62">
        <v>3.7749999999999999</v>
      </c>
      <c r="J180" s="241">
        <f>E180/15.992*100</f>
        <v>23.60555277638819</v>
      </c>
      <c r="K180" s="4">
        <v>7</v>
      </c>
      <c r="L180" s="116" t="s">
        <v>136</v>
      </c>
      <c r="M180" s="4" t="s">
        <v>41</v>
      </c>
      <c r="N180" s="4" t="s">
        <v>58</v>
      </c>
    </row>
    <row r="181" spans="1:22">
      <c r="A181" s="7">
        <v>1</v>
      </c>
      <c r="B181" s="4" t="s">
        <v>453</v>
      </c>
      <c r="C181" s="62">
        <v>1.5449999999999999</v>
      </c>
      <c r="D181" s="62">
        <v>1.369</v>
      </c>
      <c r="E181" s="62">
        <v>2.4329999999999998</v>
      </c>
      <c r="F181" s="62">
        <v>2.2320000000000002</v>
      </c>
      <c r="G181" s="62">
        <v>2.2320000000000002</v>
      </c>
      <c r="H181" s="62">
        <v>2.2320000000000002</v>
      </c>
      <c r="I181" s="62">
        <v>2.2320000000000002</v>
      </c>
      <c r="J181" s="241">
        <f>E181/15.992*100</f>
        <v>15.213856928464232</v>
      </c>
      <c r="K181" s="4">
        <v>11</v>
      </c>
      <c r="L181" s="116" t="s">
        <v>88</v>
      </c>
      <c r="N181" s="4" t="s">
        <v>59</v>
      </c>
      <c r="O181" s="13">
        <v>0</v>
      </c>
    </row>
    <row r="182" spans="1:22">
      <c r="A182" s="7">
        <v>13</v>
      </c>
      <c r="B182" s="4" t="s">
        <v>454</v>
      </c>
      <c r="C182" s="62">
        <v>1.498</v>
      </c>
      <c r="D182" s="62">
        <v>1.056</v>
      </c>
      <c r="E182" s="62">
        <v>0.91</v>
      </c>
      <c r="F182" s="62">
        <v>0.66</v>
      </c>
      <c r="G182" s="62">
        <v>0.66</v>
      </c>
      <c r="H182" s="62">
        <v>0.5</v>
      </c>
      <c r="I182" s="62">
        <v>0.5</v>
      </c>
      <c r="J182" s="78">
        <f>E182/323.351*100</f>
        <v>0.28142792197952071</v>
      </c>
      <c r="K182" s="4">
        <v>11</v>
      </c>
      <c r="L182" s="116" t="s">
        <v>88</v>
      </c>
      <c r="N182" s="4" t="s">
        <v>59</v>
      </c>
      <c r="O182" s="13">
        <v>0</v>
      </c>
    </row>
    <row r="183" spans="1:22">
      <c r="A183" s="7">
        <v>98</v>
      </c>
      <c r="B183" s="4" t="s">
        <v>153</v>
      </c>
      <c r="C183" s="62">
        <v>2.5670000000000002</v>
      </c>
      <c r="D183" s="62">
        <v>2.7229999999999999</v>
      </c>
      <c r="E183" s="62">
        <v>2.36</v>
      </c>
      <c r="F183" s="62">
        <v>1.6859999999999999</v>
      </c>
      <c r="G183" s="62">
        <v>1.6859999999999999</v>
      </c>
      <c r="H183" s="62">
        <v>1.6859999999999999</v>
      </c>
      <c r="I183" s="62">
        <v>1.6859999999999999</v>
      </c>
      <c r="J183" s="78">
        <f>E183/37.749*100</f>
        <v>6.2518212402977555</v>
      </c>
      <c r="K183" s="4">
        <v>11</v>
      </c>
      <c r="L183" s="108" t="s">
        <v>88</v>
      </c>
      <c r="M183" s="4" t="s">
        <v>59</v>
      </c>
      <c r="N183" s="4" t="s">
        <v>59</v>
      </c>
      <c r="O183" s="13">
        <v>0</v>
      </c>
    </row>
    <row r="184" spans="1:22" s="3" customFormat="1" ht="15">
      <c r="A184" s="87"/>
      <c r="B184" s="3" t="s">
        <v>116</v>
      </c>
      <c r="C184" s="12">
        <f>SUM(C180:C183)</f>
        <v>5.61</v>
      </c>
      <c r="D184" s="12">
        <f t="shared" ref="D184:I184" si="127">SUM(D180:D183)</f>
        <v>8.923</v>
      </c>
      <c r="E184" s="12">
        <f t="shared" si="127"/>
        <v>9.4779999999999998</v>
      </c>
      <c r="F184" s="12">
        <f t="shared" si="127"/>
        <v>8.3529999999999998</v>
      </c>
      <c r="G184" s="12">
        <f t="shared" si="127"/>
        <v>8.3529999999999998</v>
      </c>
      <c r="H184" s="12">
        <f t="shared" si="127"/>
        <v>8.1929999999999996</v>
      </c>
      <c r="I184" s="12">
        <f t="shared" si="127"/>
        <v>8.1929999999999996</v>
      </c>
      <c r="L184" s="1"/>
      <c r="O184" s="72"/>
      <c r="P184" s="6"/>
      <c r="Q184" s="6"/>
      <c r="R184" s="6"/>
      <c r="S184" s="6"/>
      <c r="T184" s="6"/>
      <c r="U184" s="6"/>
      <c r="V184" s="6"/>
    </row>
    <row r="185" spans="1:22">
      <c r="A185" s="7"/>
      <c r="C185" s="62"/>
      <c r="D185" s="62"/>
      <c r="E185" s="62"/>
      <c r="F185" s="62"/>
      <c r="G185" s="62"/>
      <c r="H185" s="62"/>
      <c r="I185" s="62"/>
      <c r="P185" s="5" t="s">
        <v>209</v>
      </c>
    </row>
    <row r="186" spans="1:22" ht="15">
      <c r="A186" s="33"/>
      <c r="B186" s="29" t="s">
        <v>114</v>
      </c>
      <c r="C186" s="66"/>
      <c r="D186" s="66"/>
      <c r="E186" s="66"/>
      <c r="F186" s="66"/>
      <c r="G186" s="66"/>
      <c r="H186" s="66"/>
      <c r="I186" s="66"/>
      <c r="J186" s="33"/>
      <c r="K186" s="33"/>
      <c r="L186" s="113"/>
      <c r="M186" s="33"/>
      <c r="N186" s="33"/>
      <c r="O186" s="33"/>
    </row>
    <row r="187" spans="1:22" s="7" customFormat="1">
      <c r="A187" s="143" t="s">
        <v>322</v>
      </c>
      <c r="B187" s="143" t="s">
        <v>296</v>
      </c>
      <c r="C187" s="146">
        <v>22</v>
      </c>
      <c r="D187" s="146">
        <v>22</v>
      </c>
      <c r="E187" s="146">
        <v>22</v>
      </c>
      <c r="F187" s="146">
        <v>22</v>
      </c>
      <c r="G187" s="146">
        <v>22</v>
      </c>
      <c r="H187" s="146">
        <v>22</v>
      </c>
      <c r="I187" s="146">
        <v>22</v>
      </c>
      <c r="J187" s="147">
        <v>3.3</v>
      </c>
      <c r="K187" s="153" t="s">
        <v>103</v>
      </c>
      <c r="L187" s="143" t="s">
        <v>141</v>
      </c>
      <c r="M187" s="143" t="s">
        <v>252</v>
      </c>
      <c r="N187" s="143" t="s">
        <v>58</v>
      </c>
      <c r="O187" s="73">
        <v>50</v>
      </c>
      <c r="P187" s="68">
        <f>+$O187/100*C187</f>
        <v>11</v>
      </c>
      <c r="Q187" s="68">
        <f>+$O187/100*D187</f>
        <v>11</v>
      </c>
      <c r="R187" s="68">
        <f>+$O187/100*E187</f>
        <v>11</v>
      </c>
      <c r="S187" s="68">
        <f>+$O187/100*F187</f>
        <v>11</v>
      </c>
      <c r="T187" s="68">
        <f>+$O187/100*G187</f>
        <v>11</v>
      </c>
      <c r="U187" s="68">
        <f t="shared" ref="U187" si="128">+$O187/100*H187</f>
        <v>11</v>
      </c>
      <c r="V187" s="68">
        <f t="shared" ref="V187" si="129">+$O187/100*I187</f>
        <v>11</v>
      </c>
    </row>
    <row r="188" spans="1:22" s="7" customFormat="1">
      <c r="A188" s="143" t="s">
        <v>228</v>
      </c>
      <c r="B188" s="143" t="s">
        <v>323</v>
      </c>
      <c r="C188" s="146">
        <v>0.79999999999999982</v>
      </c>
      <c r="D188" s="146">
        <v>0.79999999999999982</v>
      </c>
      <c r="E188" s="146">
        <v>-0.70000000000000018</v>
      </c>
      <c r="F188" s="146">
        <v>-3.5</v>
      </c>
      <c r="G188" s="146">
        <v>0</v>
      </c>
      <c r="H188" s="146">
        <v>0</v>
      </c>
      <c r="I188" s="146">
        <v>0</v>
      </c>
      <c r="J188" s="147">
        <v>0.18066357731949401</v>
      </c>
      <c r="K188" s="153">
        <v>7</v>
      </c>
      <c r="L188" s="143" t="s">
        <v>136</v>
      </c>
      <c r="M188" s="143" t="s">
        <v>9</v>
      </c>
      <c r="N188" s="143" t="s">
        <v>59</v>
      </c>
      <c r="O188" s="73"/>
      <c r="P188" s="68"/>
      <c r="Q188" s="68"/>
      <c r="R188" s="68"/>
      <c r="S188" s="68"/>
      <c r="T188" s="68"/>
      <c r="U188" s="68"/>
      <c r="V188" s="68"/>
    </row>
    <row r="189" spans="1:22" s="7" customFormat="1">
      <c r="A189" s="143" t="s">
        <v>228</v>
      </c>
      <c r="B189" s="143" t="s">
        <v>324</v>
      </c>
      <c r="C189" s="146">
        <v>15.4</v>
      </c>
      <c r="D189" s="146">
        <v>15.4</v>
      </c>
      <c r="E189" s="146">
        <v>15.4</v>
      </c>
      <c r="F189" s="146">
        <v>15.4</v>
      </c>
      <c r="G189" s="146">
        <v>15.4</v>
      </c>
      <c r="H189" s="146">
        <v>15.4</v>
      </c>
      <c r="I189" s="146">
        <v>15.4</v>
      </c>
      <c r="J189" s="147">
        <v>6.2</v>
      </c>
      <c r="K189" s="153" t="s">
        <v>103</v>
      </c>
      <c r="L189" s="143" t="s">
        <v>141</v>
      </c>
      <c r="M189" s="143" t="s">
        <v>41</v>
      </c>
      <c r="N189" s="143" t="s">
        <v>58</v>
      </c>
      <c r="O189" s="73">
        <v>100</v>
      </c>
      <c r="P189" s="68">
        <f>+$O189/100*C189</f>
        <v>15.4</v>
      </c>
      <c r="Q189" s="68">
        <f>+$O189/100*D189</f>
        <v>15.4</v>
      </c>
      <c r="R189" s="68">
        <f>+$O189/100*E189</f>
        <v>15.4</v>
      </c>
      <c r="S189" s="68">
        <f>+$O189/100*F189</f>
        <v>15.4</v>
      </c>
      <c r="T189" s="68">
        <f>+$O189/100*G189</f>
        <v>15.4</v>
      </c>
      <c r="U189" s="68">
        <f t="shared" ref="U189" si="130">+$O189/100*H189</f>
        <v>15.4</v>
      </c>
      <c r="V189" s="68">
        <f t="shared" ref="V189" si="131">+$O189/100*I189</f>
        <v>15.4</v>
      </c>
    </row>
    <row r="190" spans="1:22" s="7" customFormat="1">
      <c r="A190" s="143" t="s">
        <v>238</v>
      </c>
      <c r="B190" s="143" t="s">
        <v>397</v>
      </c>
      <c r="C190" s="146">
        <v>2.2080000000000002</v>
      </c>
      <c r="D190" s="146">
        <v>2.7269999999999999</v>
      </c>
      <c r="E190" s="146">
        <v>2.226</v>
      </c>
      <c r="F190" s="146">
        <v>2.1469999999999998</v>
      </c>
      <c r="G190" s="146">
        <v>2.1469999999999998</v>
      </c>
      <c r="H190" s="146">
        <v>2.1469999999999998</v>
      </c>
      <c r="I190" s="146">
        <v>2.1469999999999998</v>
      </c>
      <c r="J190" s="147">
        <v>13.3</v>
      </c>
      <c r="K190" s="153">
        <v>7</v>
      </c>
      <c r="L190" s="143" t="s">
        <v>136</v>
      </c>
      <c r="M190" s="143" t="s">
        <v>59</v>
      </c>
      <c r="N190" s="143" t="s">
        <v>59</v>
      </c>
      <c r="O190" s="73"/>
      <c r="P190" s="68"/>
      <c r="Q190" s="68"/>
      <c r="R190" s="68"/>
      <c r="S190" s="68"/>
      <c r="T190" s="68"/>
      <c r="U190" s="68"/>
      <c r="V190" s="68"/>
    </row>
    <row r="191" spans="1:22" s="7" customFormat="1">
      <c r="A191" s="143" t="s">
        <v>235</v>
      </c>
      <c r="B191" s="143" t="s">
        <v>399</v>
      </c>
      <c r="C191" s="146">
        <v>2.802</v>
      </c>
      <c r="D191" s="146">
        <v>3.5470000000000002</v>
      </c>
      <c r="E191" s="146">
        <v>0</v>
      </c>
      <c r="F191" s="146">
        <v>0</v>
      </c>
      <c r="G191" s="146">
        <v>0</v>
      </c>
      <c r="H191" s="146">
        <v>0</v>
      </c>
      <c r="I191" s="146">
        <v>0</v>
      </c>
      <c r="J191" s="147">
        <v>0</v>
      </c>
      <c r="K191" s="153">
        <v>7</v>
      </c>
      <c r="L191" s="143" t="s">
        <v>136</v>
      </c>
      <c r="M191" s="143" t="s">
        <v>9</v>
      </c>
      <c r="N191" s="143" t="s">
        <v>58</v>
      </c>
      <c r="O191" s="73">
        <v>100</v>
      </c>
      <c r="P191" s="68">
        <f>+$O191/100*C191</f>
        <v>2.802</v>
      </c>
      <c r="Q191" s="68">
        <f>+$O191/100*D191</f>
        <v>3.5470000000000002</v>
      </c>
      <c r="R191" s="68">
        <f>+$O191/100*E191</f>
        <v>0</v>
      </c>
      <c r="S191" s="68">
        <f>+$O191/100*F191</f>
        <v>0</v>
      </c>
      <c r="T191" s="68">
        <f>+$O191/100*G191</f>
        <v>0</v>
      </c>
      <c r="U191" s="68">
        <f t="shared" ref="U191" si="132">+$O191/100*H191</f>
        <v>0</v>
      </c>
      <c r="V191" s="68">
        <f t="shared" ref="V191" si="133">+$O191/100*I191</f>
        <v>0</v>
      </c>
    </row>
    <row r="192" spans="1:22" s="7" customFormat="1">
      <c r="A192" s="143" t="s">
        <v>235</v>
      </c>
      <c r="B192" s="143" t="s">
        <v>236</v>
      </c>
      <c r="C192" s="146">
        <v>17.207999999999998</v>
      </c>
      <c r="D192" s="146">
        <v>17.239999999999998</v>
      </c>
      <c r="E192" s="146">
        <v>17.239999999999998</v>
      </c>
      <c r="F192" s="146">
        <v>17.239999999999998</v>
      </c>
      <c r="G192" s="146">
        <v>17.239999999999998</v>
      </c>
      <c r="H192" s="146">
        <v>17.239999999999998</v>
      </c>
      <c r="I192" s="146">
        <v>17.239999999999998</v>
      </c>
      <c r="J192" s="147">
        <v>11.2</v>
      </c>
      <c r="K192" s="153">
        <v>7</v>
      </c>
      <c r="L192" s="143" t="s">
        <v>136</v>
      </c>
      <c r="M192" s="143" t="s">
        <v>237</v>
      </c>
      <c r="N192" s="143" t="s">
        <v>58</v>
      </c>
      <c r="O192" s="73"/>
      <c r="P192" s="68"/>
      <c r="Q192" s="68"/>
      <c r="R192" s="68"/>
      <c r="S192" s="68"/>
      <c r="T192" s="68"/>
      <c r="U192" s="68"/>
      <c r="V192" s="68"/>
    </row>
    <row r="193" spans="1:22" s="7" customFormat="1">
      <c r="A193" s="143" t="s">
        <v>235</v>
      </c>
      <c r="B193" s="143" t="s">
        <v>325</v>
      </c>
      <c r="C193" s="146">
        <v>6.8550000000000004</v>
      </c>
      <c r="D193" s="146">
        <v>7.742</v>
      </c>
      <c r="E193" s="146">
        <v>1.085</v>
      </c>
      <c r="F193" s="146">
        <v>0</v>
      </c>
      <c r="G193" s="146">
        <v>0</v>
      </c>
      <c r="H193" s="146">
        <v>0</v>
      </c>
      <c r="I193" s="146">
        <v>0</v>
      </c>
      <c r="J193" s="147">
        <v>0.7</v>
      </c>
      <c r="K193" s="153">
        <v>7</v>
      </c>
      <c r="L193" s="143" t="s">
        <v>136</v>
      </c>
      <c r="M193" s="143" t="s">
        <v>9</v>
      </c>
      <c r="N193" s="143" t="s">
        <v>59</v>
      </c>
      <c r="O193" s="73">
        <v>100</v>
      </c>
      <c r="P193" s="68">
        <f>+$O193/100*C193</f>
        <v>6.8550000000000004</v>
      </c>
      <c r="Q193" s="68">
        <f>+$O193/100*D193</f>
        <v>7.742</v>
      </c>
      <c r="R193" s="68">
        <f>+$O193/100*E193</f>
        <v>1.085</v>
      </c>
      <c r="S193" s="68">
        <f>+$O193/100*F193</f>
        <v>0</v>
      </c>
      <c r="T193" s="68">
        <f>+$O193/100*G193</f>
        <v>0</v>
      </c>
      <c r="U193" s="68">
        <f t="shared" ref="U193" si="134">+$O193/100*H193</f>
        <v>0</v>
      </c>
      <c r="V193" s="68">
        <f t="shared" ref="V193" si="135">+$O193/100*I193</f>
        <v>0</v>
      </c>
    </row>
    <row r="194" spans="1:22" s="7" customFormat="1">
      <c r="A194" s="143" t="s">
        <v>235</v>
      </c>
      <c r="B194" s="143" t="s">
        <v>326</v>
      </c>
      <c r="C194" s="146">
        <v>0</v>
      </c>
      <c r="D194" s="146">
        <v>0</v>
      </c>
      <c r="E194" s="146">
        <v>2</v>
      </c>
      <c r="F194" s="146">
        <v>2</v>
      </c>
      <c r="G194" s="146">
        <v>2</v>
      </c>
      <c r="H194" s="146">
        <v>2</v>
      </c>
      <c r="I194" s="146">
        <v>2</v>
      </c>
      <c r="J194" s="147">
        <v>1.3</v>
      </c>
      <c r="K194" s="153">
        <v>7</v>
      </c>
      <c r="L194" s="143" t="s">
        <v>136</v>
      </c>
      <c r="M194" s="143" t="s">
        <v>9</v>
      </c>
      <c r="N194" s="143" t="s">
        <v>59</v>
      </c>
      <c r="O194" s="73"/>
      <c r="P194" s="68"/>
      <c r="Q194" s="68"/>
      <c r="R194" s="68"/>
      <c r="S194" s="68"/>
      <c r="T194" s="68"/>
      <c r="U194" s="68"/>
      <c r="V194" s="68"/>
    </row>
    <row r="195" spans="1:22" s="7" customFormat="1">
      <c r="A195" s="143" t="s">
        <v>235</v>
      </c>
      <c r="B195" s="143" t="s">
        <v>327</v>
      </c>
      <c r="C195" s="146">
        <v>5.1130000000000004</v>
      </c>
      <c r="D195" s="146">
        <v>5.4119999999999999</v>
      </c>
      <c r="E195" s="146">
        <v>5.4119999999999999</v>
      </c>
      <c r="F195" s="146">
        <v>5.4119999999999999</v>
      </c>
      <c r="G195" s="146">
        <v>5.4119999999999999</v>
      </c>
      <c r="H195" s="146">
        <v>5.4119999999999999</v>
      </c>
      <c r="I195" s="146">
        <v>5.4119999999999999</v>
      </c>
      <c r="J195" s="147">
        <v>3.5</v>
      </c>
      <c r="K195" s="153">
        <v>7</v>
      </c>
      <c r="L195" s="143" t="s">
        <v>136</v>
      </c>
      <c r="M195" s="143" t="s">
        <v>9</v>
      </c>
      <c r="N195" s="143" t="s">
        <v>58</v>
      </c>
      <c r="O195" s="73">
        <v>100</v>
      </c>
      <c r="P195" s="68">
        <f>+$O195/100*C195</f>
        <v>5.1130000000000004</v>
      </c>
      <c r="Q195" s="68">
        <f>+$O195/100*D195</f>
        <v>5.4119999999999999</v>
      </c>
      <c r="R195" s="68">
        <f>+$O195/100*E195</f>
        <v>5.4119999999999999</v>
      </c>
      <c r="S195" s="68">
        <f>+$O195/100*F195</f>
        <v>5.4119999999999999</v>
      </c>
      <c r="T195" s="68">
        <f>+$O195/100*G195</f>
        <v>5.4119999999999999</v>
      </c>
      <c r="U195" s="68">
        <f t="shared" ref="U195" si="136">+$O195/100*H195</f>
        <v>5.4119999999999999</v>
      </c>
      <c r="V195" s="68">
        <f t="shared" ref="V195" si="137">+$O195/100*I195</f>
        <v>5.4119999999999999</v>
      </c>
    </row>
    <row r="196" spans="1:22" s="7" customFormat="1">
      <c r="A196" s="143" t="s">
        <v>398</v>
      </c>
      <c r="B196" s="143" t="s">
        <v>457</v>
      </c>
      <c r="C196" s="146">
        <v>22.541</v>
      </c>
      <c r="D196" s="146">
        <v>5.5979999999999999</v>
      </c>
      <c r="E196" s="146">
        <v>6.9329999999999998</v>
      </c>
      <c r="F196" s="146">
        <v>0</v>
      </c>
      <c r="G196" s="146">
        <v>0</v>
      </c>
      <c r="H196" s="146">
        <v>0</v>
      </c>
      <c r="I196" s="146">
        <v>0</v>
      </c>
      <c r="J196" s="147">
        <f>0.0646367272354351*100</f>
        <v>6.4636727235435103</v>
      </c>
      <c r="K196" s="153">
        <v>7</v>
      </c>
      <c r="L196" s="143" t="s">
        <v>136</v>
      </c>
      <c r="M196" s="143" t="s">
        <v>9</v>
      </c>
      <c r="N196" s="143" t="s">
        <v>59</v>
      </c>
      <c r="O196" s="73"/>
      <c r="P196" s="68"/>
      <c r="Q196" s="68"/>
      <c r="R196" s="68"/>
      <c r="S196" s="68"/>
      <c r="T196" s="68"/>
      <c r="U196" s="68"/>
      <c r="V196" s="68"/>
    </row>
    <row r="197" spans="1:22" s="7" customFormat="1">
      <c r="A197" s="143" t="s">
        <v>226</v>
      </c>
      <c r="B197" s="143" t="s">
        <v>234</v>
      </c>
      <c r="C197" s="146">
        <v>96.531000000000006</v>
      </c>
      <c r="D197" s="146">
        <v>108.31399999999999</v>
      </c>
      <c r="E197" s="146">
        <v>115.16800000000001</v>
      </c>
      <c r="F197" s="146">
        <v>119.833</v>
      </c>
      <c r="G197" s="146">
        <v>121.446</v>
      </c>
      <c r="H197" s="146">
        <v>113.611</v>
      </c>
      <c r="I197" s="146">
        <v>102.185</v>
      </c>
      <c r="J197" s="147">
        <f>0.779273152941017*100</f>
        <v>77.927315294101689</v>
      </c>
      <c r="K197" s="153">
        <v>7</v>
      </c>
      <c r="L197" s="143" t="s">
        <v>136</v>
      </c>
      <c r="M197" s="143" t="s">
        <v>227</v>
      </c>
      <c r="N197" s="143" t="s">
        <v>59</v>
      </c>
      <c r="O197" s="73"/>
      <c r="P197" s="68"/>
      <c r="Q197" s="68"/>
      <c r="R197" s="68"/>
      <c r="S197" s="68"/>
      <c r="T197" s="68"/>
      <c r="U197" s="68"/>
      <c r="V197" s="68"/>
    </row>
    <row r="198" spans="1:22" s="7" customFormat="1">
      <c r="A198" s="143" t="s">
        <v>226</v>
      </c>
      <c r="B198" s="143" t="s">
        <v>234</v>
      </c>
      <c r="C198" s="146">
        <v>5.835</v>
      </c>
      <c r="D198" s="146">
        <v>6.1210000000000004</v>
      </c>
      <c r="E198" s="146">
        <v>5.6820000000000004</v>
      </c>
      <c r="F198" s="146">
        <v>5.149</v>
      </c>
      <c r="G198" s="146">
        <v>5.0190000000000001</v>
      </c>
      <c r="H198" s="146">
        <v>5.0190000000000001</v>
      </c>
      <c r="I198" s="146">
        <v>5.0190000000000001</v>
      </c>
      <c r="J198" s="147">
        <v>3.8</v>
      </c>
      <c r="K198" s="153">
        <v>7</v>
      </c>
      <c r="L198" s="143" t="s">
        <v>136</v>
      </c>
      <c r="M198" s="143" t="s">
        <v>142</v>
      </c>
      <c r="N198" s="143" t="s">
        <v>58</v>
      </c>
      <c r="O198" s="73"/>
      <c r="P198" s="68"/>
      <c r="Q198" s="68"/>
      <c r="R198" s="68"/>
      <c r="S198" s="68"/>
      <c r="T198" s="68"/>
      <c r="U198" s="68"/>
      <c r="V198" s="68"/>
    </row>
    <row r="199" spans="1:22" s="7" customFormat="1">
      <c r="A199" s="143" t="s">
        <v>226</v>
      </c>
      <c r="B199" s="143" t="s">
        <v>328</v>
      </c>
      <c r="C199" s="146">
        <v>17.2</v>
      </c>
      <c r="D199" s="146">
        <v>14.6</v>
      </c>
      <c r="E199" s="146">
        <v>12.6</v>
      </c>
      <c r="F199" s="146">
        <v>10.5</v>
      </c>
      <c r="G199" s="146">
        <v>9.3000000000000007</v>
      </c>
      <c r="H199" s="146">
        <v>9.6</v>
      </c>
      <c r="I199" s="146">
        <v>10.3</v>
      </c>
      <c r="J199" s="147">
        <f>0.0852566835150113*100</f>
        <v>8.52566835150113</v>
      </c>
      <c r="K199" s="153">
        <v>7</v>
      </c>
      <c r="L199" s="143" t="s">
        <v>136</v>
      </c>
      <c r="M199" s="143" t="s">
        <v>227</v>
      </c>
      <c r="N199" s="143" t="s">
        <v>59</v>
      </c>
      <c r="O199" s="73">
        <v>50</v>
      </c>
      <c r="P199" s="68">
        <f>+$O199/100*C199</f>
        <v>8.6</v>
      </c>
      <c r="Q199" s="68">
        <f>+$O199/100*D199</f>
        <v>7.3</v>
      </c>
      <c r="R199" s="68">
        <f>+$O199/100*E199</f>
        <v>6.3</v>
      </c>
      <c r="S199" s="68">
        <f>+$O199/100*F199</f>
        <v>5.25</v>
      </c>
      <c r="T199" s="68">
        <f>+$O199/100*G199</f>
        <v>4.6500000000000004</v>
      </c>
      <c r="U199" s="68">
        <f t="shared" ref="U199" si="138">+$O199/100*H199</f>
        <v>4.8</v>
      </c>
      <c r="V199" s="68">
        <f t="shared" ref="V199" si="139">+$O199/100*I199</f>
        <v>5.15</v>
      </c>
    </row>
    <row r="200" spans="1:22" s="7" customFormat="1">
      <c r="A200" s="143" t="s">
        <v>232</v>
      </c>
      <c r="B200" s="143" t="s">
        <v>233</v>
      </c>
      <c r="C200" s="146">
        <v>0.25</v>
      </c>
      <c r="D200" s="146">
        <v>0</v>
      </c>
      <c r="E200" s="146">
        <v>0</v>
      </c>
      <c r="F200" s="146">
        <v>0</v>
      </c>
      <c r="G200" s="146">
        <v>0</v>
      </c>
      <c r="H200" s="146">
        <v>0</v>
      </c>
      <c r="I200" s="146">
        <v>0</v>
      </c>
      <c r="J200" s="147">
        <v>0</v>
      </c>
      <c r="K200" s="153">
        <v>7</v>
      </c>
      <c r="L200" s="143" t="s">
        <v>136</v>
      </c>
      <c r="M200" s="143" t="s">
        <v>59</v>
      </c>
      <c r="N200" s="143" t="s">
        <v>59</v>
      </c>
      <c r="O200" s="73"/>
      <c r="P200" s="68"/>
      <c r="Q200" s="68"/>
      <c r="R200" s="68"/>
      <c r="S200" s="68"/>
      <c r="T200" s="68"/>
      <c r="U200" s="68"/>
      <c r="V200" s="68"/>
    </row>
    <row r="201" spans="1:22" s="7" customFormat="1">
      <c r="A201" s="143" t="s">
        <v>232</v>
      </c>
      <c r="B201" s="143" t="s">
        <v>233</v>
      </c>
      <c r="C201" s="146">
        <v>0.6</v>
      </c>
      <c r="D201" s="146">
        <v>0.53600000000000003</v>
      </c>
      <c r="E201" s="146">
        <v>0</v>
      </c>
      <c r="F201" s="146">
        <v>0</v>
      </c>
      <c r="G201" s="146">
        <v>0</v>
      </c>
      <c r="H201" s="146">
        <v>0</v>
      </c>
      <c r="I201" s="146">
        <v>0</v>
      </c>
      <c r="J201" s="147">
        <v>0</v>
      </c>
      <c r="K201" s="153">
        <v>7</v>
      </c>
      <c r="L201" s="143" t="s">
        <v>136</v>
      </c>
      <c r="M201" s="143" t="s">
        <v>26</v>
      </c>
      <c r="N201" s="143" t="s">
        <v>59</v>
      </c>
      <c r="O201" s="73"/>
      <c r="P201" s="68"/>
      <c r="Q201" s="68"/>
      <c r="R201" s="68"/>
      <c r="S201" s="68"/>
      <c r="T201" s="68"/>
      <c r="U201" s="68"/>
      <c r="V201" s="68"/>
    </row>
    <row r="202" spans="1:22" s="7" customFormat="1">
      <c r="A202" s="143" t="s">
        <v>294</v>
      </c>
      <c r="B202" s="143" t="s">
        <v>300</v>
      </c>
      <c r="C202" s="146">
        <v>13.9</v>
      </c>
      <c r="D202" s="146">
        <v>11.9</v>
      </c>
      <c r="E202" s="146">
        <v>10.9</v>
      </c>
      <c r="F202" s="146">
        <v>10.9</v>
      </c>
      <c r="G202" s="146">
        <v>10.9</v>
      </c>
      <c r="H202" s="146">
        <v>10.9</v>
      </c>
      <c r="I202" s="146">
        <v>10.9</v>
      </c>
      <c r="J202" s="147">
        <v>60.4</v>
      </c>
      <c r="K202" s="153" t="s">
        <v>103</v>
      </c>
      <c r="L202" s="143" t="s">
        <v>141</v>
      </c>
      <c r="M202" s="143" t="s">
        <v>41</v>
      </c>
      <c r="N202" s="143" t="s">
        <v>58</v>
      </c>
      <c r="O202" s="73"/>
      <c r="P202" s="68"/>
      <c r="Q202" s="68"/>
      <c r="R202" s="68"/>
      <c r="S202" s="68"/>
      <c r="T202" s="68"/>
      <c r="U202" s="68"/>
      <c r="V202" s="68"/>
    </row>
    <row r="203" spans="1:22" s="7" customFormat="1">
      <c r="A203" s="143" t="s">
        <v>458</v>
      </c>
      <c r="B203" s="143" t="s">
        <v>230</v>
      </c>
      <c r="C203" s="146">
        <v>5.28</v>
      </c>
      <c r="D203" s="146">
        <v>5.55</v>
      </c>
      <c r="E203" s="146">
        <v>6.0579999999999998</v>
      </c>
      <c r="F203" s="146">
        <v>6.1790000000000003</v>
      </c>
      <c r="G203" s="146">
        <v>6.3029999999999999</v>
      </c>
      <c r="H203" s="146">
        <v>6.4290000000000003</v>
      </c>
      <c r="I203" s="146">
        <v>6.5579999999999998</v>
      </c>
      <c r="J203" s="147">
        <f>0.349003341398779*100</f>
        <v>34.900334139877899</v>
      </c>
      <c r="K203" s="153">
        <v>11</v>
      </c>
      <c r="L203" s="143" t="s">
        <v>88</v>
      </c>
      <c r="M203" s="143" t="s">
        <v>231</v>
      </c>
      <c r="N203" s="143" t="s">
        <v>58</v>
      </c>
      <c r="O203" s="73"/>
      <c r="P203" s="68"/>
      <c r="Q203" s="68"/>
      <c r="R203" s="68"/>
      <c r="S203" s="68"/>
      <c r="T203" s="68"/>
      <c r="U203" s="68"/>
      <c r="V203" s="68"/>
    </row>
    <row r="204" spans="1:22" s="7" customFormat="1">
      <c r="A204" s="143" t="s">
        <v>458</v>
      </c>
      <c r="B204" s="143" t="s">
        <v>229</v>
      </c>
      <c r="C204" s="146">
        <v>3.6080000000000001</v>
      </c>
      <c r="D204" s="146">
        <v>4.0540000000000003</v>
      </c>
      <c r="E204" s="146">
        <v>2.714</v>
      </c>
      <c r="F204" s="146">
        <v>0.92500000000000004</v>
      </c>
      <c r="G204" s="146">
        <v>0.92500000000000004</v>
      </c>
      <c r="H204" s="146">
        <v>0.92500000000000004</v>
      </c>
      <c r="I204" s="146">
        <v>0.92500000000000004</v>
      </c>
      <c r="J204" s="147">
        <f>0.156354418711833*100</f>
        <v>15.6354418711833</v>
      </c>
      <c r="K204" s="153">
        <v>11</v>
      </c>
      <c r="L204" s="143" t="s">
        <v>88</v>
      </c>
      <c r="M204" s="143" t="s">
        <v>9</v>
      </c>
      <c r="N204" s="143" t="s">
        <v>59</v>
      </c>
      <c r="O204" s="73"/>
      <c r="P204" s="68"/>
      <c r="Q204" s="68"/>
      <c r="R204" s="68"/>
      <c r="S204" s="68"/>
      <c r="T204" s="68"/>
      <c r="U204" s="68"/>
      <c r="V204" s="68"/>
    </row>
    <row r="205" spans="1:22" s="7" customFormat="1">
      <c r="A205" s="143" t="s">
        <v>458</v>
      </c>
      <c r="B205" s="143" t="s">
        <v>229</v>
      </c>
      <c r="C205" s="146">
        <v>0.19800000000000001</v>
      </c>
      <c r="D205" s="146">
        <v>0.222</v>
      </c>
      <c r="E205" s="146">
        <v>0.14899999999999999</v>
      </c>
      <c r="F205" s="146">
        <v>5.0999999999999997E-2</v>
      </c>
      <c r="G205" s="146">
        <v>5.0999999999999997E-2</v>
      </c>
      <c r="H205" s="146">
        <v>5.0999999999999997E-2</v>
      </c>
      <c r="I205" s="146">
        <v>5.0999999999999997E-2</v>
      </c>
      <c r="J205" s="147">
        <f>0.00858393824173292*100</f>
        <v>0.85839382417329191</v>
      </c>
      <c r="K205" s="153">
        <v>11</v>
      </c>
      <c r="L205" s="143" t="s">
        <v>88</v>
      </c>
      <c r="M205" s="143" t="s">
        <v>14</v>
      </c>
      <c r="N205" s="143" t="s">
        <v>59</v>
      </c>
      <c r="O205" s="73"/>
      <c r="P205" s="68"/>
      <c r="Q205" s="68"/>
      <c r="R205" s="68"/>
      <c r="S205" s="68"/>
      <c r="T205" s="68"/>
      <c r="U205" s="68"/>
      <c r="V205" s="68"/>
    </row>
    <row r="206" spans="1:22" s="7" customFormat="1">
      <c r="A206" s="143" t="s">
        <v>458</v>
      </c>
      <c r="B206" s="143" t="s">
        <v>229</v>
      </c>
      <c r="C206" s="146">
        <v>9.6000000000000002E-2</v>
      </c>
      <c r="D206" s="146">
        <v>0.108</v>
      </c>
      <c r="E206" s="146">
        <v>7.1999999999999995E-2</v>
      </c>
      <c r="F206" s="146">
        <v>2.4E-2</v>
      </c>
      <c r="G206" s="146">
        <v>2.4E-2</v>
      </c>
      <c r="H206" s="146">
        <v>2.4E-2</v>
      </c>
      <c r="I206" s="146">
        <v>2.4E-2</v>
      </c>
      <c r="J206" s="147">
        <f>0.00414794331144141*100</f>
        <v>0.41479433114414105</v>
      </c>
      <c r="K206" s="153">
        <v>11</v>
      </c>
      <c r="L206" s="143" t="s">
        <v>88</v>
      </c>
      <c r="M206" s="143" t="s">
        <v>100</v>
      </c>
      <c r="N206" s="143" t="s">
        <v>59</v>
      </c>
      <c r="O206" s="73"/>
      <c r="P206" s="68"/>
      <c r="Q206" s="68"/>
      <c r="R206" s="68"/>
      <c r="S206" s="68"/>
      <c r="T206" s="68"/>
      <c r="U206" s="68"/>
      <c r="V206" s="68"/>
    </row>
    <row r="207" spans="1:22" s="87" customFormat="1" ht="15">
      <c r="B207" s="87" t="s">
        <v>117</v>
      </c>
      <c r="C207" s="149">
        <f>SUM(C187:C206)</f>
        <v>238.42500000000001</v>
      </c>
      <c r="D207" s="149">
        <f t="shared" ref="D207:I207" si="140">SUM(D187:D206)</f>
        <v>231.87100000000004</v>
      </c>
      <c r="E207" s="149">
        <f t="shared" si="140"/>
        <v>224.93899999999999</v>
      </c>
      <c r="F207" s="149">
        <f t="shared" si="140"/>
        <v>214.26</v>
      </c>
      <c r="G207" s="149">
        <f t="shared" si="140"/>
        <v>218.167</v>
      </c>
      <c r="H207" s="149">
        <f t="shared" si="140"/>
        <v>210.75800000000001</v>
      </c>
      <c r="I207" s="149">
        <f t="shared" si="140"/>
        <v>200.16100000000003</v>
      </c>
      <c r="L207" s="23"/>
      <c r="O207" s="152"/>
      <c r="P207" s="151">
        <f t="shared" ref="P207:V207" si="141">SUM(P187:P206)</f>
        <v>49.77</v>
      </c>
      <c r="Q207" s="151">
        <f t="shared" si="141"/>
        <v>50.400999999999996</v>
      </c>
      <c r="R207" s="151">
        <f t="shared" si="141"/>
        <v>39.196999999999996</v>
      </c>
      <c r="S207" s="151">
        <f t="shared" si="141"/>
        <v>37.061999999999998</v>
      </c>
      <c r="T207" s="151">
        <f t="shared" si="141"/>
        <v>36.461999999999996</v>
      </c>
      <c r="U207" s="151">
        <f t="shared" si="141"/>
        <v>36.611999999999995</v>
      </c>
      <c r="V207" s="151">
        <f t="shared" si="141"/>
        <v>36.961999999999996</v>
      </c>
    </row>
    <row r="208" spans="1:22">
      <c r="A208" s="7"/>
      <c r="C208" s="62"/>
      <c r="D208" s="62"/>
      <c r="E208" s="62"/>
      <c r="F208" s="62"/>
      <c r="G208" s="62"/>
      <c r="H208" s="62"/>
      <c r="I208" s="62"/>
    </row>
    <row r="209" spans="1:22" s="1" customFormat="1" ht="15.75">
      <c r="A209" s="34"/>
      <c r="B209" s="35" t="s">
        <v>115</v>
      </c>
      <c r="C209" s="36">
        <f t="shared" ref="C209:I209" si="142">SUM(C8,C17,C24,C30,C63,C71,C103,C177,C184,C207)</f>
        <v>4880.716054923676</v>
      </c>
      <c r="D209" s="36">
        <f t="shared" si="142"/>
        <v>5022.0759846232077</v>
      </c>
      <c r="E209" s="36">
        <f t="shared" si="142"/>
        <v>4887.2667532497189</v>
      </c>
      <c r="F209" s="36">
        <f t="shared" si="142"/>
        <v>4874.9466981088653</v>
      </c>
      <c r="G209" s="36">
        <f t="shared" si="142"/>
        <v>4819.3830822032951</v>
      </c>
      <c r="H209" s="36">
        <f t="shared" si="142"/>
        <v>4843.4907487067212</v>
      </c>
      <c r="I209" s="36">
        <f t="shared" si="142"/>
        <v>4834.1891710345963</v>
      </c>
      <c r="J209" s="14"/>
      <c r="K209" s="14"/>
      <c r="L209" s="14"/>
      <c r="M209" s="14"/>
      <c r="N209" s="14"/>
      <c r="O209" s="14"/>
      <c r="P209" s="60">
        <f t="shared" ref="P209:V209" si="143">+P8+P17+P24+P30+P63+P71+P103+P177+P184+P207</f>
        <v>1121.8769523809524</v>
      </c>
      <c r="Q209" s="60">
        <f t="shared" si="143"/>
        <v>1189.3754799999999</v>
      </c>
      <c r="R209" s="60">
        <f t="shared" si="143"/>
        <v>1111.3748033333331</v>
      </c>
      <c r="S209" s="60">
        <f t="shared" si="143"/>
        <v>1115.4950933333332</v>
      </c>
      <c r="T209" s="60">
        <f t="shared" si="143"/>
        <v>1098.1038733333332</v>
      </c>
      <c r="U209" s="60">
        <f t="shared" si="143"/>
        <v>1107.3929900000001</v>
      </c>
      <c r="V209" s="60">
        <f t="shared" si="143"/>
        <v>1103.6302899999998</v>
      </c>
    </row>
    <row r="210" spans="1:22">
      <c r="C210" s="268"/>
      <c r="D210" s="268"/>
      <c r="E210" s="268"/>
      <c r="F210" s="268"/>
      <c r="G210" s="268"/>
      <c r="H210" s="268"/>
      <c r="I210" s="268"/>
    </row>
    <row r="211" spans="1:22" ht="15">
      <c r="B211" s="3" t="s">
        <v>202</v>
      </c>
      <c r="O211" s="130" t="s">
        <v>366</v>
      </c>
    </row>
    <row r="212" spans="1:22">
      <c r="B212" s="23"/>
      <c r="C212" s="1">
        <f t="shared" ref="C212:I212" si="144">C4</f>
        <v>2015</v>
      </c>
      <c r="D212" s="1">
        <f t="shared" si="144"/>
        <v>2016</v>
      </c>
      <c r="E212" s="1">
        <f t="shared" si="144"/>
        <v>2017</v>
      </c>
      <c r="F212" s="1">
        <f t="shared" si="144"/>
        <v>2018</v>
      </c>
      <c r="G212" s="1">
        <f t="shared" si="144"/>
        <v>2019</v>
      </c>
      <c r="H212" s="1">
        <f t="shared" si="144"/>
        <v>2020</v>
      </c>
      <c r="I212" s="1">
        <f t="shared" si="144"/>
        <v>2021</v>
      </c>
      <c r="K212" s="1" t="s">
        <v>451</v>
      </c>
      <c r="L212" s="71" t="s">
        <v>295</v>
      </c>
      <c r="P212" s="1">
        <f>C212</f>
        <v>2015</v>
      </c>
      <c r="Q212" s="1">
        <f t="shared" ref="Q212:V212" si="145">D212</f>
        <v>2016</v>
      </c>
      <c r="R212" s="1">
        <f t="shared" si="145"/>
        <v>2017</v>
      </c>
      <c r="S212" s="1">
        <f t="shared" si="145"/>
        <v>2018</v>
      </c>
      <c r="T212" s="1">
        <f t="shared" si="145"/>
        <v>2019</v>
      </c>
      <c r="U212" s="1">
        <f t="shared" si="145"/>
        <v>2020</v>
      </c>
      <c r="V212" s="1">
        <f t="shared" si="145"/>
        <v>2021</v>
      </c>
    </row>
    <row r="213" spans="1:22">
      <c r="B213" s="7" t="s">
        <v>190</v>
      </c>
      <c r="C213" s="120">
        <f t="shared" ref="C213:I213" si="146">C8</f>
        <v>0.58299999999999996</v>
      </c>
      <c r="D213" s="120">
        <f t="shared" si="146"/>
        <v>0.59399999999999997</v>
      </c>
      <c r="E213" s="120">
        <f t="shared" si="146"/>
        <v>0.59399999999999997</v>
      </c>
      <c r="F213" s="120">
        <f t="shared" si="146"/>
        <v>0.59399999999999997</v>
      </c>
      <c r="G213" s="120">
        <f t="shared" si="146"/>
        <v>0.59399999999999997</v>
      </c>
      <c r="H213" s="120">
        <f t="shared" si="146"/>
        <v>0.59399999999999997</v>
      </c>
      <c r="I213" s="120">
        <f t="shared" si="146"/>
        <v>0.59399999999999997</v>
      </c>
      <c r="K213" s="77">
        <f t="shared" ref="K213:K223" si="147">+I213-C213</f>
        <v>1.100000000000001E-2</v>
      </c>
      <c r="L213" s="78">
        <f t="shared" ref="L213:L223" si="148">+(I213-C213)/C213*100</f>
        <v>1.8867924528301903</v>
      </c>
      <c r="O213" s="13" t="s">
        <v>210</v>
      </c>
      <c r="P213" s="43">
        <f t="shared" ref="P213:V213" si="149">+P8</f>
        <v>0</v>
      </c>
      <c r="Q213" s="43">
        <f t="shared" si="149"/>
        <v>0</v>
      </c>
      <c r="R213" s="43">
        <f t="shared" si="149"/>
        <v>0</v>
      </c>
      <c r="S213" s="43">
        <f t="shared" si="149"/>
        <v>0</v>
      </c>
      <c r="T213" s="43">
        <f t="shared" si="149"/>
        <v>0</v>
      </c>
      <c r="U213" s="43">
        <f t="shared" si="149"/>
        <v>0</v>
      </c>
      <c r="V213" s="43">
        <f t="shared" si="149"/>
        <v>0</v>
      </c>
    </row>
    <row r="214" spans="1:22">
      <c r="B214" s="7" t="s">
        <v>191</v>
      </c>
      <c r="C214" s="120">
        <f t="shared" ref="C214:I214" si="150">C17</f>
        <v>34.914000000000001</v>
      </c>
      <c r="D214" s="120">
        <f t="shared" si="150"/>
        <v>39.9</v>
      </c>
      <c r="E214" s="120">
        <f t="shared" si="150"/>
        <v>37.466000000000001</v>
      </c>
      <c r="F214" s="120">
        <f t="shared" si="150"/>
        <v>37.757000000000005</v>
      </c>
      <c r="G214" s="120">
        <f t="shared" si="150"/>
        <v>37.841999999999999</v>
      </c>
      <c r="H214" s="120">
        <f t="shared" si="150"/>
        <v>37.841999999999999</v>
      </c>
      <c r="I214" s="120">
        <f t="shared" si="150"/>
        <v>37.841999999999999</v>
      </c>
      <c r="K214" s="77">
        <f t="shared" si="147"/>
        <v>2.9279999999999973</v>
      </c>
      <c r="L214" s="78">
        <f t="shared" si="148"/>
        <v>8.3863206736552591</v>
      </c>
      <c r="O214" s="13" t="s">
        <v>211</v>
      </c>
      <c r="P214" s="43">
        <f t="shared" ref="P214:V214" si="151">+P17</f>
        <v>0</v>
      </c>
      <c r="Q214" s="43">
        <f t="shared" si="151"/>
        <v>0</v>
      </c>
      <c r="R214" s="43">
        <f t="shared" si="151"/>
        <v>0</v>
      </c>
      <c r="S214" s="43">
        <f t="shared" si="151"/>
        <v>0</v>
      </c>
      <c r="T214" s="43">
        <f t="shared" si="151"/>
        <v>0</v>
      </c>
      <c r="U214" s="43">
        <f t="shared" si="151"/>
        <v>0</v>
      </c>
      <c r="V214" s="43">
        <f t="shared" si="151"/>
        <v>0</v>
      </c>
    </row>
    <row r="215" spans="1:22">
      <c r="B215" s="7" t="s">
        <v>192</v>
      </c>
      <c r="C215" s="120">
        <f t="shared" ref="C215:I215" si="152">C24</f>
        <v>22.096</v>
      </c>
      <c r="D215" s="120">
        <f t="shared" si="152"/>
        <v>21.521000000000001</v>
      </c>
      <c r="E215" s="120">
        <f t="shared" si="152"/>
        <v>21.111000000000001</v>
      </c>
      <c r="F215" s="120">
        <f t="shared" si="152"/>
        <v>20.972000000000001</v>
      </c>
      <c r="G215" s="120">
        <f t="shared" si="152"/>
        <v>21.007000000000001</v>
      </c>
      <c r="H215" s="120">
        <f t="shared" si="152"/>
        <v>21.017000000000003</v>
      </c>
      <c r="I215" s="120">
        <f t="shared" si="152"/>
        <v>21.02</v>
      </c>
      <c r="K215" s="77">
        <f t="shared" si="147"/>
        <v>-1.0760000000000005</v>
      </c>
      <c r="L215" s="78">
        <f t="shared" si="148"/>
        <v>-4.8696596669080394</v>
      </c>
      <c r="O215" s="13" t="s">
        <v>212</v>
      </c>
      <c r="P215" s="43">
        <f t="shared" ref="P215:V215" si="153">+P24</f>
        <v>6.8942999999999994</v>
      </c>
      <c r="Q215" s="43">
        <f t="shared" si="153"/>
        <v>6.5954800000000002</v>
      </c>
      <c r="R215" s="43">
        <f t="shared" si="153"/>
        <v>6.3556200000000009</v>
      </c>
      <c r="S215" s="43">
        <f t="shared" si="153"/>
        <v>6.2564599999999997</v>
      </c>
      <c r="T215" s="43">
        <f t="shared" si="153"/>
        <v>6.2792400000000006</v>
      </c>
      <c r="U215" s="43">
        <f t="shared" si="153"/>
        <v>6.2859400000000001</v>
      </c>
      <c r="V215" s="43">
        <f t="shared" si="153"/>
        <v>6.2859400000000001</v>
      </c>
    </row>
    <row r="216" spans="1:22">
      <c r="B216" s="7" t="s">
        <v>193</v>
      </c>
      <c r="C216" s="120">
        <f t="shared" ref="C216:I216" si="154">C30</f>
        <v>12.233000000000001</v>
      </c>
      <c r="D216" s="120">
        <f t="shared" si="154"/>
        <v>12.789</v>
      </c>
      <c r="E216" s="120">
        <f t="shared" si="154"/>
        <v>10.373999999999999</v>
      </c>
      <c r="F216" s="120">
        <f t="shared" si="154"/>
        <v>8.91</v>
      </c>
      <c r="G216" s="120">
        <f t="shared" si="154"/>
        <v>8.9459999999999997</v>
      </c>
      <c r="H216" s="120">
        <f t="shared" si="154"/>
        <v>9.26</v>
      </c>
      <c r="I216" s="120">
        <f t="shared" si="154"/>
        <v>10.66</v>
      </c>
      <c r="K216" s="77">
        <f t="shared" si="147"/>
        <v>-1.5730000000000004</v>
      </c>
      <c r="L216" s="78">
        <f t="shared" si="148"/>
        <v>-12.858660998937305</v>
      </c>
      <c r="O216" s="13" t="s">
        <v>213</v>
      </c>
      <c r="P216" s="43">
        <f t="shared" ref="P216:V216" si="155">+P30</f>
        <v>1.2233000000000001</v>
      </c>
      <c r="Q216" s="43">
        <f t="shared" si="155"/>
        <v>1.2789000000000001</v>
      </c>
      <c r="R216" s="43">
        <f t="shared" si="155"/>
        <v>1.0373999999999999</v>
      </c>
      <c r="S216" s="43">
        <f t="shared" si="155"/>
        <v>0.89100000000000001</v>
      </c>
      <c r="T216" s="43">
        <f t="shared" si="155"/>
        <v>0.89459999999999995</v>
      </c>
      <c r="U216" s="43">
        <f t="shared" si="155"/>
        <v>0.92600000000000016</v>
      </c>
      <c r="V216" s="43">
        <f t="shared" si="155"/>
        <v>1.0659999999999998</v>
      </c>
    </row>
    <row r="217" spans="1:22">
      <c r="B217" s="7" t="s">
        <v>194</v>
      </c>
      <c r="C217" s="120">
        <f t="shared" ref="C217:I217" si="156">C63</f>
        <v>3599.0105549236764</v>
      </c>
      <c r="D217" s="120">
        <f t="shared" si="156"/>
        <v>3668.4681846232079</v>
      </c>
      <c r="E217" s="120">
        <f t="shared" si="156"/>
        <v>3623.9829532497188</v>
      </c>
      <c r="F217" s="120">
        <f t="shared" si="156"/>
        <v>3628.3473981088641</v>
      </c>
      <c r="G217" s="120">
        <f t="shared" si="156"/>
        <v>3588.129382203294</v>
      </c>
      <c r="H217" s="120">
        <f t="shared" si="156"/>
        <v>3606.3926987067207</v>
      </c>
      <c r="I217" s="120">
        <f t="shared" si="156"/>
        <v>3615.9093210345959</v>
      </c>
      <c r="K217" s="77">
        <f t="shared" si="147"/>
        <v>16.898766110919496</v>
      </c>
      <c r="L217" s="78">
        <f t="shared" si="148"/>
        <v>0.46953922065610237</v>
      </c>
      <c r="O217" s="13" t="s">
        <v>214</v>
      </c>
      <c r="P217" s="43">
        <f t="shared" ref="P217:V217" si="157">+P63</f>
        <v>294</v>
      </c>
      <c r="Q217" s="43">
        <f t="shared" si="157"/>
        <v>289</v>
      </c>
      <c r="R217" s="43">
        <f t="shared" si="157"/>
        <v>289</v>
      </c>
      <c r="S217" s="43">
        <f t="shared" si="157"/>
        <v>289</v>
      </c>
      <c r="T217" s="43">
        <f t="shared" si="157"/>
        <v>289</v>
      </c>
      <c r="U217" s="43">
        <f t="shared" si="157"/>
        <v>289</v>
      </c>
      <c r="V217" s="43">
        <f t="shared" si="157"/>
        <v>289</v>
      </c>
    </row>
    <row r="218" spans="1:22">
      <c r="B218" s="7" t="s">
        <v>84</v>
      </c>
      <c r="C218" s="120">
        <f t="shared" ref="C218:I218" si="158">C71</f>
        <v>61.612000000000002</v>
      </c>
      <c r="D218" s="120">
        <f t="shared" si="158"/>
        <v>60.69</v>
      </c>
      <c r="E218" s="120">
        <f t="shared" si="158"/>
        <v>60.469000000000008</v>
      </c>
      <c r="F218" s="120">
        <f t="shared" si="158"/>
        <v>60.472000000000001</v>
      </c>
      <c r="G218" s="120">
        <f t="shared" si="158"/>
        <v>60.472000000000001</v>
      </c>
      <c r="H218" s="120">
        <f t="shared" si="158"/>
        <v>60.472000000000001</v>
      </c>
      <c r="I218" s="120">
        <f t="shared" si="158"/>
        <v>60.472000000000001</v>
      </c>
      <c r="K218" s="77">
        <f t="shared" si="147"/>
        <v>-1.1400000000000006</v>
      </c>
      <c r="L218" s="78">
        <f t="shared" si="148"/>
        <v>-1.850288904758814</v>
      </c>
      <c r="O218" s="13" t="s">
        <v>215</v>
      </c>
      <c r="P218" s="43">
        <f t="shared" ref="P218:V218" si="159">+P71</f>
        <v>61.612000000000002</v>
      </c>
      <c r="Q218" s="43">
        <f t="shared" si="159"/>
        <v>60.69</v>
      </c>
      <c r="R218" s="43">
        <f t="shared" si="159"/>
        <v>60.469000000000008</v>
      </c>
      <c r="S218" s="43">
        <f t="shared" si="159"/>
        <v>60.472000000000001</v>
      </c>
      <c r="T218" s="43">
        <f t="shared" si="159"/>
        <v>60.472000000000001</v>
      </c>
      <c r="U218" s="43">
        <f t="shared" si="159"/>
        <v>60.472000000000001</v>
      </c>
      <c r="V218" s="43">
        <f t="shared" si="159"/>
        <v>60.472000000000001</v>
      </c>
    </row>
    <row r="219" spans="1:22">
      <c r="B219" s="7" t="s">
        <v>195</v>
      </c>
      <c r="C219" s="120">
        <f t="shared" ref="C219:I219" si="160">C103</f>
        <v>70.566999999999993</v>
      </c>
      <c r="D219" s="120">
        <f t="shared" si="160"/>
        <v>70.936999999999998</v>
      </c>
      <c r="E219" s="120">
        <f t="shared" si="160"/>
        <v>69.131</v>
      </c>
      <c r="F219" s="120">
        <f t="shared" si="160"/>
        <v>56.354999999999997</v>
      </c>
      <c r="G219" s="120">
        <f t="shared" si="160"/>
        <v>56.202999999999989</v>
      </c>
      <c r="H219" s="120">
        <f t="shared" si="160"/>
        <v>57.011999999999986</v>
      </c>
      <c r="I219" s="120">
        <f t="shared" si="160"/>
        <v>51.852999999999994</v>
      </c>
      <c r="K219" s="77">
        <f t="shared" si="147"/>
        <v>-18.713999999999999</v>
      </c>
      <c r="L219" s="78">
        <f t="shared" si="148"/>
        <v>-26.519477942947837</v>
      </c>
      <c r="O219" s="13" t="s">
        <v>216</v>
      </c>
      <c r="P219" s="43">
        <f t="shared" ref="P219:V219" si="161">+P103</f>
        <v>6.6449999999999996</v>
      </c>
      <c r="Q219" s="43">
        <f t="shared" si="161"/>
        <v>6.1349999999999998</v>
      </c>
      <c r="R219" s="43">
        <f t="shared" si="161"/>
        <v>6.42</v>
      </c>
      <c r="S219" s="43">
        <f t="shared" si="161"/>
        <v>6.62</v>
      </c>
      <c r="T219" s="43">
        <f t="shared" si="161"/>
        <v>6.62</v>
      </c>
      <c r="U219" s="43">
        <f t="shared" si="161"/>
        <v>6.62</v>
      </c>
      <c r="V219" s="43">
        <f t="shared" si="161"/>
        <v>6.62</v>
      </c>
    </row>
    <row r="220" spans="1:22">
      <c r="B220" s="7" t="s">
        <v>196</v>
      </c>
      <c r="C220" s="120">
        <f t="shared" ref="C220:I220" si="162">C177</f>
        <v>835.66549999999995</v>
      </c>
      <c r="D220" s="120">
        <f t="shared" si="162"/>
        <v>906.38279999999986</v>
      </c>
      <c r="E220" s="120">
        <f t="shared" si="162"/>
        <v>829.72180000000014</v>
      </c>
      <c r="F220" s="120">
        <f t="shared" si="162"/>
        <v>838.92630000000008</v>
      </c>
      <c r="G220" s="120">
        <f t="shared" si="162"/>
        <v>819.66970000000003</v>
      </c>
      <c r="H220" s="120">
        <f t="shared" si="162"/>
        <v>831.95005000000015</v>
      </c>
      <c r="I220" s="120">
        <f t="shared" si="162"/>
        <v>827.48485000000028</v>
      </c>
      <c r="K220" s="77">
        <f t="shared" si="147"/>
        <v>-8.1806499999996731</v>
      </c>
      <c r="L220" s="78">
        <f t="shared" si="148"/>
        <v>-0.97893834315281336</v>
      </c>
      <c r="O220" s="13" t="s">
        <v>217</v>
      </c>
      <c r="P220" s="43">
        <f t="shared" ref="P220:V220" si="163">+P177</f>
        <v>701.73235238095231</v>
      </c>
      <c r="Q220" s="43">
        <f t="shared" si="163"/>
        <v>775.27509999999984</v>
      </c>
      <c r="R220" s="43">
        <f t="shared" si="163"/>
        <v>708.89578333333327</v>
      </c>
      <c r="S220" s="43">
        <f t="shared" si="163"/>
        <v>715.19363333333331</v>
      </c>
      <c r="T220" s="43">
        <f t="shared" si="163"/>
        <v>698.37603333333323</v>
      </c>
      <c r="U220" s="43">
        <f t="shared" si="163"/>
        <v>707.47704999999996</v>
      </c>
      <c r="V220" s="43">
        <f t="shared" si="163"/>
        <v>703.22434999999984</v>
      </c>
    </row>
    <row r="221" spans="1:22">
      <c r="B221" s="7" t="s">
        <v>197</v>
      </c>
      <c r="C221" s="120">
        <f>C184</f>
        <v>5.61</v>
      </c>
      <c r="D221" s="120">
        <f t="shared" ref="D221:I221" si="164">D184</f>
        <v>8.923</v>
      </c>
      <c r="E221" s="120">
        <f t="shared" si="164"/>
        <v>9.4779999999999998</v>
      </c>
      <c r="F221" s="120">
        <f t="shared" si="164"/>
        <v>8.3529999999999998</v>
      </c>
      <c r="G221" s="120">
        <f t="shared" si="164"/>
        <v>8.3529999999999998</v>
      </c>
      <c r="H221" s="120">
        <f t="shared" si="164"/>
        <v>8.1929999999999996</v>
      </c>
      <c r="I221" s="120">
        <f t="shared" si="164"/>
        <v>8.1929999999999996</v>
      </c>
      <c r="K221" s="77">
        <f t="shared" si="147"/>
        <v>2.5829999999999993</v>
      </c>
      <c r="L221" s="78">
        <f t="shared" si="148"/>
        <v>46.042780748663084</v>
      </c>
      <c r="O221" s="13" t="s">
        <v>218</v>
      </c>
      <c r="P221" s="43">
        <f t="shared" ref="P221:V221" si="165">+P184</f>
        <v>0</v>
      </c>
      <c r="Q221" s="43">
        <f t="shared" si="165"/>
        <v>0</v>
      </c>
      <c r="R221" s="43">
        <f t="shared" si="165"/>
        <v>0</v>
      </c>
      <c r="S221" s="43">
        <f t="shared" si="165"/>
        <v>0</v>
      </c>
      <c r="T221" s="43">
        <f t="shared" si="165"/>
        <v>0</v>
      </c>
      <c r="U221" s="43">
        <f t="shared" si="165"/>
        <v>0</v>
      </c>
      <c r="V221" s="43">
        <f t="shared" si="165"/>
        <v>0</v>
      </c>
    </row>
    <row r="222" spans="1:22">
      <c r="B222" s="7" t="s">
        <v>198</v>
      </c>
      <c r="C222" s="120">
        <f>C207</f>
        <v>238.42500000000001</v>
      </c>
      <c r="D222" s="120">
        <f t="shared" ref="D222:I222" si="166">D207</f>
        <v>231.87100000000004</v>
      </c>
      <c r="E222" s="120">
        <f t="shared" si="166"/>
        <v>224.93899999999999</v>
      </c>
      <c r="F222" s="120">
        <f t="shared" si="166"/>
        <v>214.26</v>
      </c>
      <c r="G222" s="120">
        <f t="shared" si="166"/>
        <v>218.167</v>
      </c>
      <c r="H222" s="120">
        <f t="shared" si="166"/>
        <v>210.75800000000001</v>
      </c>
      <c r="I222" s="120">
        <f t="shared" si="166"/>
        <v>200.16100000000003</v>
      </c>
      <c r="K222" s="77">
        <f t="shared" si="147"/>
        <v>-38.263999999999982</v>
      </c>
      <c r="L222" s="78">
        <f t="shared" si="148"/>
        <v>-16.048652616126656</v>
      </c>
      <c r="O222" s="13" t="s">
        <v>219</v>
      </c>
      <c r="P222" s="43">
        <f>+P207</f>
        <v>49.77</v>
      </c>
      <c r="Q222" s="43">
        <f t="shared" ref="Q222:V222" si="167">+Q207</f>
        <v>50.400999999999996</v>
      </c>
      <c r="R222" s="43">
        <f t="shared" si="167"/>
        <v>39.196999999999996</v>
      </c>
      <c r="S222" s="43">
        <f t="shared" si="167"/>
        <v>37.061999999999998</v>
      </c>
      <c r="T222" s="43">
        <f t="shared" si="167"/>
        <v>36.461999999999996</v>
      </c>
      <c r="U222" s="43">
        <f t="shared" si="167"/>
        <v>36.611999999999995</v>
      </c>
      <c r="V222" s="43">
        <f t="shared" si="167"/>
        <v>36.961999999999996</v>
      </c>
    </row>
    <row r="223" spans="1:22">
      <c r="B223" s="23" t="s">
        <v>81</v>
      </c>
      <c r="C223" s="121">
        <f>SUM(C213:C222)</f>
        <v>4880.716054923676</v>
      </c>
      <c r="D223" s="121">
        <f t="shared" ref="D223:I223" si="168">SUM(D213:D222)</f>
        <v>5022.0759846232077</v>
      </c>
      <c r="E223" s="121">
        <f t="shared" si="168"/>
        <v>4887.2667532497189</v>
      </c>
      <c r="F223" s="121">
        <f t="shared" si="168"/>
        <v>4874.9466981088653</v>
      </c>
      <c r="G223" s="121">
        <f t="shared" si="168"/>
        <v>4819.3830822032951</v>
      </c>
      <c r="H223" s="121">
        <f t="shared" si="168"/>
        <v>4843.4907487067212</v>
      </c>
      <c r="I223" s="121">
        <f t="shared" si="168"/>
        <v>4834.1891710345963</v>
      </c>
      <c r="K223" s="77">
        <f t="shared" si="147"/>
        <v>-46.526883889079727</v>
      </c>
      <c r="L223" s="78">
        <f t="shared" si="148"/>
        <v>-0.95327987462297292</v>
      </c>
      <c r="O223" s="13" t="s">
        <v>188</v>
      </c>
      <c r="P223" s="44">
        <f>SUM(P213:P222)</f>
        <v>1121.8769523809524</v>
      </c>
      <c r="Q223" s="44">
        <f t="shared" ref="Q223:V223" si="169">SUM(Q213:Q222)</f>
        <v>1189.3754799999999</v>
      </c>
      <c r="R223" s="44">
        <f t="shared" si="169"/>
        <v>1111.3748033333331</v>
      </c>
      <c r="S223" s="44">
        <f t="shared" si="169"/>
        <v>1115.4950933333332</v>
      </c>
      <c r="T223" s="44">
        <f t="shared" si="169"/>
        <v>1098.1038733333332</v>
      </c>
      <c r="U223" s="44">
        <f t="shared" si="169"/>
        <v>1107.3929900000001</v>
      </c>
      <c r="V223" s="44">
        <f t="shared" si="169"/>
        <v>1103.6302899999998</v>
      </c>
    </row>
    <row r="225" spans="1:22" s="38" customFormat="1" ht="15">
      <c r="A225" s="122" t="s">
        <v>513</v>
      </c>
      <c r="C225" s="157"/>
      <c r="K225" s="49"/>
      <c r="L225" s="18"/>
      <c r="M225" s="2"/>
      <c r="O225" s="76"/>
      <c r="P225" s="70"/>
      <c r="Q225" s="70"/>
      <c r="R225" s="70"/>
      <c r="S225" s="70"/>
      <c r="T225" s="70"/>
      <c r="U225" s="70"/>
      <c r="V225" s="70"/>
    </row>
    <row r="230" spans="1:22">
      <c r="C230" s="4" t="s">
        <v>209</v>
      </c>
      <c r="O230" s="4"/>
      <c r="P230" s="4"/>
      <c r="Q230" s="4"/>
      <c r="R230" s="4"/>
      <c r="S230" s="4"/>
      <c r="T230" s="4"/>
      <c r="U230" s="4"/>
      <c r="V230" s="4"/>
    </row>
  </sheetData>
  <sortState ref="A184:N196">
    <sortCondition ref="A184:A196"/>
  </sortState>
  <pageMargins left="0.70866141732283472" right="0.70866141732283472" top="0.74803149606299213" bottom="0.74803149606299213" header="0.31496062992125984" footer="0.31496062992125984"/>
  <pageSetup paperSize="8" scale="81" orientation="landscape" r:id="rId1"/>
  <headerFooter>
    <oddFooter>&amp;L&amp;Z&amp;F
&amp;D</oddFooter>
  </headerFooter>
  <rowBreaks count="3" manualBreakCount="3">
    <brk id="63" max="21" man="1"/>
    <brk id="122" max="21" man="1"/>
    <brk id="177" max="21" man="1"/>
  </rowBreaks>
  <colBreaks count="1" manualBreakCount="1">
    <brk id="15" max="1048575"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98"/>
  <sheetViews>
    <sheetView workbookViewId="0"/>
  </sheetViews>
  <sheetFormatPr defaultRowHeight="12.75"/>
  <cols>
    <col min="1" max="1" width="9.140625" style="104"/>
    <col min="2" max="2" width="58" style="18" bestFit="1" customWidth="1"/>
    <col min="3" max="3" width="9.5703125" style="18" bestFit="1" customWidth="1"/>
    <col min="4" max="4" width="9.140625" style="18"/>
    <col min="5" max="5" width="9.85546875" style="18" bestFit="1" customWidth="1"/>
    <col min="6" max="9" width="9.140625" style="18"/>
    <col min="10" max="10" width="12.28515625" style="18" customWidth="1"/>
    <col min="11" max="11" width="15" style="18" bestFit="1" customWidth="1"/>
    <col min="12" max="12" width="47.5703125" style="18" customWidth="1"/>
    <col min="13" max="16384" width="9.140625" style="18"/>
  </cols>
  <sheetData>
    <row r="1" spans="1:15" ht="18.75">
      <c r="A1" s="102" t="s">
        <v>189</v>
      </c>
    </row>
    <row r="2" spans="1:15" s="119" customFormat="1" ht="18.75">
      <c r="A2" s="102"/>
      <c r="C2" s="95" t="str">
        <f>'R&amp;D'!C3</f>
        <v>realisatie</v>
      </c>
      <c r="D2" s="95" t="str">
        <f>'R&amp;D'!D3</f>
        <v xml:space="preserve">stand begr. </v>
      </c>
      <c r="E2" s="95" t="str">
        <f>'R&amp;D'!E3</f>
        <v>ontwerp</v>
      </c>
      <c r="F2" s="95" t="str">
        <f>'R&amp;D'!F3</f>
        <v>meerjarencijfers</v>
      </c>
      <c r="G2" s="95"/>
      <c r="H2" s="95"/>
      <c r="I2" s="95"/>
      <c r="J2" s="95" t="s">
        <v>566</v>
      </c>
    </row>
    <row r="3" spans="1:15" s="39" customFormat="1" ht="15">
      <c r="A3" s="82"/>
      <c r="B3" s="3"/>
      <c r="C3" s="95">
        <f>'R&amp;D'!C4</f>
        <v>2015</v>
      </c>
      <c r="D3" s="95">
        <f>'R&amp;D'!D4</f>
        <v>2016</v>
      </c>
      <c r="E3" s="95">
        <f>'R&amp;D'!E4</f>
        <v>2017</v>
      </c>
      <c r="F3" s="95">
        <f>'R&amp;D'!F4</f>
        <v>2018</v>
      </c>
      <c r="G3" s="95">
        <f>'R&amp;D'!G4</f>
        <v>2019</v>
      </c>
      <c r="H3" s="95">
        <f>'R&amp;D'!H4</f>
        <v>2020</v>
      </c>
      <c r="I3" s="95">
        <f>'R&amp;D'!I4</f>
        <v>2021</v>
      </c>
      <c r="J3" s="95" t="s">
        <v>498</v>
      </c>
      <c r="K3" s="119"/>
      <c r="L3" s="119"/>
    </row>
    <row r="4" spans="1:15" s="39" customFormat="1" ht="15">
      <c r="A4" s="258" t="s">
        <v>105</v>
      </c>
      <c r="B4" s="15" t="s">
        <v>64</v>
      </c>
      <c r="C4" s="61"/>
      <c r="D4" s="61"/>
      <c r="E4" s="61"/>
      <c r="F4" s="61"/>
      <c r="G4" s="61"/>
      <c r="H4" s="61"/>
      <c r="I4" s="61"/>
      <c r="J4" s="14"/>
      <c r="K4" s="14"/>
      <c r="L4" s="14"/>
      <c r="M4" s="23"/>
      <c r="N4" s="23"/>
      <c r="O4" s="23"/>
    </row>
    <row r="5" spans="1:15" s="7" customFormat="1">
      <c r="A5" s="208">
        <v>4</v>
      </c>
      <c r="B5" s="195" t="s">
        <v>400</v>
      </c>
      <c r="C5" s="209">
        <v>0</v>
      </c>
      <c r="D5" s="209">
        <v>0</v>
      </c>
      <c r="E5" s="209">
        <v>1.8</v>
      </c>
      <c r="F5" s="209">
        <v>1.3</v>
      </c>
      <c r="G5" s="209">
        <v>0</v>
      </c>
      <c r="H5" s="209">
        <v>0</v>
      </c>
      <c r="I5" s="209">
        <v>0</v>
      </c>
      <c r="J5" s="186"/>
      <c r="L5" s="7" t="s">
        <v>401</v>
      </c>
    </row>
    <row r="6" spans="1:15" s="7" customFormat="1">
      <c r="A6" s="208">
        <v>4</v>
      </c>
      <c r="B6" s="195" t="s">
        <v>402</v>
      </c>
      <c r="C6" s="209">
        <v>11.218</v>
      </c>
      <c r="D6" s="209">
        <v>18.152000000000001</v>
      </c>
      <c r="E6" s="209">
        <v>22.81</v>
      </c>
      <c r="F6" s="209">
        <v>43.445</v>
      </c>
      <c r="G6" s="209">
        <v>37.700000000000003</v>
      </c>
      <c r="H6" s="209">
        <v>31.856000000000002</v>
      </c>
      <c r="I6" s="209">
        <v>24.4</v>
      </c>
      <c r="J6" s="186"/>
      <c r="L6" s="7" t="s">
        <v>437</v>
      </c>
    </row>
    <row r="7" spans="1:15" s="7" customFormat="1">
      <c r="A7" s="208">
        <v>3</v>
      </c>
      <c r="B7" s="195" t="s">
        <v>514</v>
      </c>
      <c r="C7" s="209">
        <v>3.5</v>
      </c>
      <c r="D7" s="209">
        <v>3.5</v>
      </c>
      <c r="E7" s="209">
        <v>3.5</v>
      </c>
      <c r="F7" s="209">
        <v>3.5</v>
      </c>
      <c r="G7" s="209">
        <v>3.5</v>
      </c>
      <c r="H7" s="209">
        <v>3.5</v>
      </c>
      <c r="I7" s="209">
        <v>3.5</v>
      </c>
    </row>
    <row r="8" spans="1:15" s="7" customFormat="1">
      <c r="A8" s="208">
        <v>3</v>
      </c>
      <c r="B8" s="195" t="s">
        <v>515</v>
      </c>
      <c r="C8" s="209">
        <v>2.0499999999999998</v>
      </c>
      <c r="D8" s="209">
        <v>2.4</v>
      </c>
      <c r="E8" s="209">
        <v>2.4</v>
      </c>
      <c r="F8" s="209">
        <v>2.4</v>
      </c>
      <c r="G8" s="209">
        <v>2.4</v>
      </c>
      <c r="H8" s="209">
        <v>2.4</v>
      </c>
      <c r="I8" s="209">
        <v>2.4</v>
      </c>
    </row>
    <row r="9" spans="1:15" s="7" customFormat="1">
      <c r="A9" s="208">
        <v>3</v>
      </c>
      <c r="B9" s="195" t="s">
        <v>516</v>
      </c>
      <c r="C9" s="209">
        <v>1.9300000000000002</v>
      </c>
      <c r="D9" s="209">
        <v>2.4899999999999998</v>
      </c>
      <c r="E9" s="209">
        <v>1.5699999999999998</v>
      </c>
      <c r="F9" s="209"/>
      <c r="G9" s="209"/>
      <c r="H9" s="209"/>
      <c r="I9" s="209"/>
    </row>
    <row r="10" spans="1:15" s="7" customFormat="1">
      <c r="A10" s="208">
        <v>3</v>
      </c>
      <c r="B10" s="195" t="s">
        <v>517</v>
      </c>
      <c r="C10" s="209">
        <v>2.4</v>
      </c>
      <c r="D10" s="209">
        <v>2.6</v>
      </c>
      <c r="E10" s="209">
        <v>2.4</v>
      </c>
      <c r="F10" s="209">
        <v>2.4</v>
      </c>
      <c r="G10" s="209">
        <v>2.4</v>
      </c>
      <c r="H10" s="209">
        <v>2.4</v>
      </c>
      <c r="I10" s="209">
        <v>2.4</v>
      </c>
    </row>
    <row r="11" spans="1:15" s="7" customFormat="1">
      <c r="A11" s="208">
        <v>3</v>
      </c>
      <c r="B11" s="195" t="s">
        <v>518</v>
      </c>
      <c r="C11" s="209">
        <v>3</v>
      </c>
      <c r="D11" s="209">
        <v>3.1</v>
      </c>
      <c r="E11" s="209">
        <v>2.4000000000000004</v>
      </c>
      <c r="F11" s="209"/>
      <c r="G11" s="209"/>
      <c r="H11" s="186"/>
    </row>
    <row r="12" spans="1:15" s="7" customFormat="1">
      <c r="A12" s="208">
        <v>3</v>
      </c>
      <c r="B12" s="195" t="s">
        <v>519</v>
      </c>
      <c r="C12" s="209">
        <v>0.52500000000000002</v>
      </c>
      <c r="D12" s="209"/>
      <c r="E12" s="209"/>
      <c r="F12" s="209"/>
      <c r="G12" s="209"/>
      <c r="H12" s="186"/>
    </row>
    <row r="13" spans="1:15" s="7" customFormat="1">
      <c r="A13" s="208">
        <v>1</v>
      </c>
      <c r="B13" s="221" t="s">
        <v>520</v>
      </c>
      <c r="C13" s="209">
        <v>1.0549999999999999</v>
      </c>
      <c r="D13" s="209">
        <v>8.7999999999999995E-2</v>
      </c>
      <c r="E13" s="209">
        <v>0.83299999999999996</v>
      </c>
      <c r="F13" s="209">
        <v>0.76700000000000002</v>
      </c>
      <c r="G13" s="209"/>
      <c r="H13" s="209"/>
      <c r="I13" s="209"/>
      <c r="J13" s="186"/>
      <c r="K13" s="224"/>
    </row>
    <row r="14" spans="1:15" s="7" customFormat="1">
      <c r="A14" s="208">
        <v>1</v>
      </c>
      <c r="B14" s="221" t="s">
        <v>521</v>
      </c>
      <c r="C14" s="209">
        <v>4.1829999999999998</v>
      </c>
      <c r="D14" s="209">
        <v>0.52</v>
      </c>
      <c r="E14" s="209">
        <v>2.42</v>
      </c>
      <c r="F14" s="209">
        <v>1.5</v>
      </c>
      <c r="G14" s="209"/>
      <c r="H14" s="209"/>
      <c r="I14" s="209"/>
      <c r="J14" s="186"/>
      <c r="K14" s="224"/>
    </row>
    <row r="15" spans="1:15" s="7" customFormat="1">
      <c r="A15" s="208">
        <v>1</v>
      </c>
      <c r="B15" s="221" t="s">
        <v>522</v>
      </c>
      <c r="C15" s="209">
        <v>0.9</v>
      </c>
      <c r="D15" s="209">
        <v>0.4</v>
      </c>
      <c r="E15" s="209">
        <v>2.2000000000000002</v>
      </c>
      <c r="F15" s="209">
        <v>1.2</v>
      </c>
      <c r="G15" s="209"/>
      <c r="H15" s="209"/>
      <c r="I15" s="209"/>
      <c r="J15" s="186"/>
      <c r="K15" s="224"/>
    </row>
    <row r="16" spans="1:15" s="7" customFormat="1">
      <c r="A16" s="208">
        <v>1</v>
      </c>
      <c r="B16" s="221" t="s">
        <v>523</v>
      </c>
      <c r="C16" s="209">
        <v>0</v>
      </c>
      <c r="D16" s="209">
        <v>4.5</v>
      </c>
      <c r="E16" s="209">
        <v>2.5</v>
      </c>
      <c r="F16" s="209">
        <v>1.5</v>
      </c>
      <c r="G16" s="209">
        <v>1.5</v>
      </c>
      <c r="H16" s="209"/>
      <c r="I16" s="209"/>
      <c r="J16" s="186"/>
      <c r="K16" s="224"/>
    </row>
    <row r="17" spans="1:12" s="7" customFormat="1">
      <c r="A17" s="208">
        <v>1</v>
      </c>
      <c r="B17" s="221" t="s">
        <v>524</v>
      </c>
      <c r="C17" s="209">
        <v>0.89700000000000002</v>
      </c>
      <c r="D17" s="209">
        <v>0.94499999999999995</v>
      </c>
      <c r="E17" s="209">
        <v>0.95</v>
      </c>
      <c r="F17" s="209">
        <v>0.95</v>
      </c>
      <c r="G17" s="209">
        <v>0.95</v>
      </c>
      <c r="H17" s="209"/>
      <c r="I17" s="209"/>
      <c r="J17" s="186"/>
      <c r="K17" s="224"/>
    </row>
    <row r="18" spans="1:12" s="7" customFormat="1">
      <c r="A18" s="208">
        <v>1</v>
      </c>
      <c r="B18" s="221" t="s">
        <v>525</v>
      </c>
      <c r="C18" s="209">
        <v>0.28999999999999998</v>
      </c>
      <c r="D18" s="209">
        <v>0.28999999999999998</v>
      </c>
      <c r="E18" s="209">
        <v>0.28999999999999998</v>
      </c>
      <c r="F18" s="209">
        <v>0.28999999999999998</v>
      </c>
      <c r="G18" s="209">
        <v>0.28999999999999998</v>
      </c>
      <c r="H18" s="209"/>
      <c r="I18" s="209"/>
      <c r="J18" s="186"/>
      <c r="K18" s="224"/>
    </row>
    <row r="19" spans="1:12" s="7" customFormat="1">
      <c r="A19" s="208">
        <v>1</v>
      </c>
      <c r="B19" s="222" t="s">
        <v>526</v>
      </c>
      <c r="C19" s="209">
        <v>0</v>
      </c>
      <c r="D19" s="209">
        <v>0.3</v>
      </c>
      <c r="E19" s="209">
        <v>0.3</v>
      </c>
      <c r="F19" s="209"/>
      <c r="G19" s="209"/>
      <c r="H19" s="209"/>
      <c r="I19" s="209"/>
      <c r="J19" s="186"/>
      <c r="K19" s="224"/>
    </row>
    <row r="20" spans="1:12" s="7" customFormat="1">
      <c r="A20" s="208">
        <v>1</v>
      </c>
      <c r="B20" s="222" t="s">
        <v>527</v>
      </c>
      <c r="C20" s="209">
        <v>0</v>
      </c>
      <c r="D20" s="209">
        <v>0.25</v>
      </c>
      <c r="E20" s="209">
        <v>0.25</v>
      </c>
      <c r="F20" s="209"/>
      <c r="G20" s="209"/>
      <c r="H20" s="209"/>
      <c r="I20" s="209"/>
      <c r="J20" s="186"/>
      <c r="K20" s="224"/>
    </row>
    <row r="21" spans="1:12" s="7" customFormat="1">
      <c r="A21" s="208">
        <v>1</v>
      </c>
      <c r="B21" s="222" t="s">
        <v>528</v>
      </c>
      <c r="C21" s="209">
        <v>0</v>
      </c>
      <c r="D21" s="209">
        <v>0.47</v>
      </c>
      <c r="E21" s="209">
        <v>0.45</v>
      </c>
      <c r="F21" s="209"/>
      <c r="G21" s="209"/>
      <c r="H21" s="209"/>
      <c r="I21" s="209"/>
      <c r="J21" s="186"/>
      <c r="K21" s="224"/>
    </row>
    <row r="22" spans="1:12" s="7" customFormat="1">
      <c r="A22" s="208">
        <v>1</v>
      </c>
      <c r="B22" s="222" t="s">
        <v>529</v>
      </c>
      <c r="C22" s="209">
        <v>0</v>
      </c>
      <c r="D22" s="220"/>
      <c r="E22" s="209">
        <v>0.3</v>
      </c>
      <c r="F22" s="209">
        <v>0.3</v>
      </c>
      <c r="G22" s="209">
        <v>0.3</v>
      </c>
      <c r="J22" s="186"/>
      <c r="K22" s="224"/>
    </row>
    <row r="23" spans="1:12" s="7" customFormat="1">
      <c r="A23" s="208">
        <v>1</v>
      </c>
      <c r="B23" s="222" t="s">
        <v>530</v>
      </c>
      <c r="C23" s="223"/>
      <c r="D23" s="209">
        <v>0.157</v>
      </c>
      <c r="E23" s="209"/>
      <c r="F23" s="209"/>
      <c r="G23" s="209"/>
      <c r="H23" s="209"/>
      <c r="J23" s="186"/>
      <c r="K23" s="221"/>
    </row>
    <row r="24" spans="1:12" s="7" customFormat="1" ht="14.25" customHeight="1">
      <c r="A24" s="208">
        <v>1</v>
      </c>
      <c r="B24" s="222" t="s">
        <v>531</v>
      </c>
      <c r="C24" s="209">
        <v>6.0999999999999999E-2</v>
      </c>
      <c r="D24" s="209">
        <v>0.159</v>
      </c>
      <c r="E24" s="209"/>
      <c r="F24" s="209" t="s">
        <v>532</v>
      </c>
      <c r="G24" s="209"/>
      <c r="H24" s="209">
        <v>0.11899999999999999</v>
      </c>
      <c r="J24" s="186"/>
      <c r="K24" s="221"/>
    </row>
    <row r="25" spans="1:12" s="7" customFormat="1">
      <c r="A25" s="208">
        <v>6</v>
      </c>
      <c r="B25" s="195" t="s">
        <v>533</v>
      </c>
      <c r="C25" s="209">
        <v>0</v>
      </c>
      <c r="D25" s="209">
        <v>0</v>
      </c>
      <c r="E25" s="209">
        <v>0.25</v>
      </c>
      <c r="F25" s="209">
        <v>3.3</v>
      </c>
      <c r="G25" s="209">
        <v>3.3</v>
      </c>
      <c r="H25" s="209">
        <v>3.8</v>
      </c>
      <c r="I25" s="209">
        <v>6.3</v>
      </c>
      <c r="L25" s="7" t="s">
        <v>534</v>
      </c>
    </row>
    <row r="26" spans="1:12" s="7" customFormat="1">
      <c r="A26" s="208">
        <v>7</v>
      </c>
      <c r="B26" s="195" t="s">
        <v>535</v>
      </c>
      <c r="C26" s="209">
        <v>0</v>
      </c>
      <c r="D26" s="209">
        <v>0</v>
      </c>
      <c r="E26" s="209">
        <v>0.25</v>
      </c>
      <c r="F26" s="209">
        <v>3.3</v>
      </c>
      <c r="G26" s="209">
        <v>3.3</v>
      </c>
      <c r="H26" s="209">
        <v>3.8</v>
      </c>
      <c r="I26" s="209">
        <v>6.3</v>
      </c>
      <c r="L26" s="7" t="s">
        <v>534</v>
      </c>
    </row>
    <row r="27" spans="1:12" s="7" customFormat="1">
      <c r="A27" s="252" t="s">
        <v>553</v>
      </c>
      <c r="B27" s="195" t="s">
        <v>536</v>
      </c>
      <c r="C27" s="209"/>
      <c r="D27" s="209">
        <v>1</v>
      </c>
      <c r="E27" s="209">
        <v>1</v>
      </c>
      <c r="F27" s="209">
        <v>1</v>
      </c>
      <c r="G27" s="209">
        <v>1</v>
      </c>
      <c r="H27" s="209">
        <v>1</v>
      </c>
      <c r="I27" s="209">
        <v>1</v>
      </c>
      <c r="L27" s="7" t="s">
        <v>537</v>
      </c>
    </row>
    <row r="28" spans="1:12" s="7" customFormat="1">
      <c r="A28" s="208">
        <v>14</v>
      </c>
      <c r="B28" s="195" t="s">
        <v>125</v>
      </c>
      <c r="C28" s="226">
        <v>18</v>
      </c>
      <c r="D28" s="227">
        <v>18</v>
      </c>
      <c r="E28" s="227">
        <v>18</v>
      </c>
      <c r="F28" s="227">
        <v>18</v>
      </c>
      <c r="G28" s="227">
        <v>18</v>
      </c>
      <c r="H28" s="228">
        <v>18</v>
      </c>
      <c r="I28" s="228">
        <v>18</v>
      </c>
      <c r="J28" s="229"/>
    </row>
    <row r="29" spans="1:12" s="7" customFormat="1">
      <c r="A29" s="208">
        <v>14</v>
      </c>
      <c r="B29" s="195" t="s">
        <v>539</v>
      </c>
      <c r="C29" s="226">
        <v>0.6</v>
      </c>
      <c r="D29" s="227">
        <v>0.6</v>
      </c>
      <c r="E29" s="227">
        <v>0.8</v>
      </c>
      <c r="F29" s="227">
        <v>0.8</v>
      </c>
      <c r="G29" s="227">
        <v>0.8</v>
      </c>
      <c r="H29" s="228"/>
      <c r="I29" s="228"/>
    </row>
    <row r="30" spans="1:12" s="7" customFormat="1">
      <c r="A30" s="208">
        <v>15</v>
      </c>
      <c r="B30" s="195" t="s">
        <v>540</v>
      </c>
      <c r="C30" s="209">
        <v>0.8</v>
      </c>
      <c r="D30" s="209">
        <v>0.8</v>
      </c>
      <c r="E30" s="209">
        <v>0.8</v>
      </c>
      <c r="F30" s="209">
        <v>0.8</v>
      </c>
      <c r="G30" s="209">
        <v>0.8</v>
      </c>
      <c r="H30" s="186">
        <v>0.8</v>
      </c>
      <c r="I30" s="7">
        <v>0.8</v>
      </c>
    </row>
    <row r="31" spans="1:12" s="3" customFormat="1" ht="15">
      <c r="A31" s="208">
        <v>25</v>
      </c>
      <c r="B31" s="195" t="s">
        <v>552</v>
      </c>
      <c r="C31" s="69"/>
      <c r="D31" s="69"/>
      <c r="E31" s="69"/>
      <c r="F31" s="69"/>
      <c r="G31" s="69"/>
      <c r="H31" s="69"/>
      <c r="I31" s="69"/>
      <c r="J31" s="2"/>
      <c r="K31" s="2"/>
      <c r="L31" s="271"/>
    </row>
    <row r="32" spans="1:12" s="3" customFormat="1" ht="15">
      <c r="A32" s="82"/>
      <c r="B32" s="3" t="s">
        <v>94</v>
      </c>
      <c r="C32" s="6">
        <f>SUM(C5:C31)</f>
        <v>51.408999999999992</v>
      </c>
      <c r="D32" s="6">
        <f t="shared" ref="D32:I32" si="0">SUM(D5:D31)</f>
        <v>60.720999999999989</v>
      </c>
      <c r="E32" s="6">
        <f t="shared" si="0"/>
        <v>68.472999999999985</v>
      </c>
      <c r="F32" s="6">
        <f t="shared" si="0"/>
        <v>86.751999999999995</v>
      </c>
      <c r="G32" s="6">
        <f t="shared" si="0"/>
        <v>76.239999999999981</v>
      </c>
      <c r="H32" s="6">
        <f t="shared" si="0"/>
        <v>67.674999999999997</v>
      </c>
      <c r="I32" s="6">
        <f t="shared" si="0"/>
        <v>65.09999999999998</v>
      </c>
    </row>
    <row r="33" spans="1:14" s="4" customFormat="1">
      <c r="A33" s="8"/>
    </row>
    <row r="34" spans="1:14" ht="15">
      <c r="A34" s="103"/>
      <c r="B34" s="29" t="s">
        <v>111</v>
      </c>
      <c r="C34" s="15"/>
      <c r="D34" s="30"/>
      <c r="E34" s="30"/>
      <c r="F34" s="30"/>
      <c r="G34" s="30"/>
      <c r="H34" s="30"/>
      <c r="I34" s="30"/>
      <c r="J34" s="30"/>
      <c r="K34" s="29"/>
      <c r="L34" s="31"/>
      <c r="M34" s="37"/>
      <c r="N34" s="37"/>
    </row>
    <row r="35" spans="1:14" s="7" customFormat="1">
      <c r="A35" s="208" t="s">
        <v>403</v>
      </c>
      <c r="B35" s="195" t="s">
        <v>182</v>
      </c>
      <c r="C35" s="209">
        <v>0.755</v>
      </c>
      <c r="D35" s="209">
        <v>1.0469999999999999</v>
      </c>
      <c r="E35" s="209">
        <v>1.073</v>
      </c>
      <c r="F35" s="209">
        <v>0</v>
      </c>
      <c r="G35" s="209">
        <v>0</v>
      </c>
      <c r="H35" s="209">
        <v>0</v>
      </c>
      <c r="I35" s="209">
        <v>0</v>
      </c>
      <c r="J35" s="186">
        <v>0.3</v>
      </c>
    </row>
    <row r="36" spans="1:14" s="7" customFormat="1">
      <c r="A36" s="208" t="s">
        <v>185</v>
      </c>
      <c r="B36" s="195" t="s">
        <v>183</v>
      </c>
      <c r="C36" s="209">
        <v>28.562000000000001</v>
      </c>
      <c r="D36" s="209">
        <v>7.048</v>
      </c>
      <c r="E36" s="209">
        <v>10.4</v>
      </c>
      <c r="F36" s="209">
        <v>2</v>
      </c>
      <c r="G36" s="209">
        <v>5.7729999999999997</v>
      </c>
      <c r="H36" s="209">
        <v>5.7729999999999997</v>
      </c>
      <c r="I36" s="209">
        <v>5.7729999999999997</v>
      </c>
      <c r="J36" s="186">
        <f>0.0676418364758603*100</f>
        <v>6.7641836475860302</v>
      </c>
    </row>
    <row r="37" spans="1:14" s="7" customFormat="1">
      <c r="A37" s="208" t="s">
        <v>181</v>
      </c>
      <c r="B37" s="195" t="s">
        <v>184</v>
      </c>
      <c r="C37" s="209">
        <v>0.127</v>
      </c>
      <c r="D37" s="209">
        <v>0</v>
      </c>
      <c r="E37" s="209">
        <v>0</v>
      </c>
      <c r="F37" s="209">
        <v>0</v>
      </c>
      <c r="G37" s="209">
        <v>0</v>
      </c>
      <c r="H37" s="209">
        <v>0</v>
      </c>
      <c r="I37" s="209">
        <v>0</v>
      </c>
      <c r="J37" s="210">
        <v>100</v>
      </c>
    </row>
    <row r="38" spans="1:14" s="7" customFormat="1">
      <c r="A38" s="208" t="s">
        <v>404</v>
      </c>
      <c r="B38" s="195" t="s">
        <v>405</v>
      </c>
      <c r="C38" s="209">
        <v>0.755</v>
      </c>
      <c r="D38" s="209">
        <v>0.05</v>
      </c>
      <c r="E38" s="209">
        <v>0</v>
      </c>
      <c r="F38" s="209">
        <v>0</v>
      </c>
      <c r="G38" s="209">
        <v>0</v>
      </c>
      <c r="H38" s="209">
        <v>0</v>
      </c>
      <c r="I38" s="209">
        <v>0</v>
      </c>
      <c r="J38" s="210">
        <v>0</v>
      </c>
    </row>
    <row r="39" spans="1:14" s="7" customFormat="1">
      <c r="A39" s="208" t="s">
        <v>406</v>
      </c>
      <c r="B39" s="195" t="str">
        <f>[1]format!$B$96</f>
        <v>Opdrachten KDC</v>
      </c>
      <c r="C39" s="209">
        <v>0.67</v>
      </c>
      <c r="D39" s="209">
        <v>0.71</v>
      </c>
      <c r="E39" s="209">
        <v>0.7</v>
      </c>
      <c r="F39" s="209">
        <v>0.7</v>
      </c>
      <c r="G39" s="209">
        <v>0.7</v>
      </c>
      <c r="H39" s="209">
        <v>0.7</v>
      </c>
      <c r="I39" s="209">
        <v>0.7</v>
      </c>
      <c r="J39" s="210"/>
      <c r="K39" s="7" t="s">
        <v>164</v>
      </c>
    </row>
    <row r="40" spans="1:14" s="7" customFormat="1">
      <c r="A40" s="208" t="s">
        <v>406</v>
      </c>
      <c r="B40" s="195" t="str">
        <f>[1]format!$B$98</f>
        <v>KLM Corporate Biofuel Programme</v>
      </c>
      <c r="C40" s="209">
        <v>0</v>
      </c>
      <c r="D40" s="209">
        <v>0.2</v>
      </c>
      <c r="E40" s="209">
        <v>0.2</v>
      </c>
      <c r="F40" s="209">
        <v>0.2</v>
      </c>
      <c r="G40" s="209">
        <v>0</v>
      </c>
      <c r="H40" s="209">
        <v>0</v>
      </c>
      <c r="I40" s="209">
        <v>0</v>
      </c>
      <c r="J40" s="210"/>
      <c r="K40" s="7" t="s">
        <v>408</v>
      </c>
    </row>
    <row r="41" spans="1:14" s="7" customFormat="1">
      <c r="A41" s="208" t="s">
        <v>407</v>
      </c>
      <c r="B41" s="195" t="str">
        <f>[1]format!$B$100</f>
        <v>topsector logistiek - opdrachten</v>
      </c>
      <c r="C41" s="209">
        <v>4.9089999999999998</v>
      </c>
      <c r="D41" s="209">
        <v>16.013000000000002</v>
      </c>
      <c r="E41" s="209">
        <v>15.323</v>
      </c>
      <c r="F41" s="209">
        <v>7.9669999999999996</v>
      </c>
      <c r="G41" s="209">
        <v>6.4690000000000003</v>
      </c>
      <c r="H41" s="209">
        <v>5.931</v>
      </c>
      <c r="I41" s="209">
        <v>0</v>
      </c>
      <c r="J41" s="210"/>
      <c r="K41" s="7" t="s">
        <v>409</v>
      </c>
      <c r="L41" s="7" t="s">
        <v>412</v>
      </c>
    </row>
    <row r="42" spans="1:14" s="7" customFormat="1">
      <c r="A42" s="208" t="s">
        <v>407</v>
      </c>
      <c r="B42" s="195" t="str">
        <f>[1]format!$B$102</f>
        <v>topsector logistiek - subsidies</v>
      </c>
      <c r="C42" s="209">
        <v>1.75</v>
      </c>
      <c r="D42" s="209">
        <v>4.3369999999999997</v>
      </c>
      <c r="E42" s="209">
        <v>7.7750000000000004</v>
      </c>
      <c r="F42" s="209">
        <v>4.819</v>
      </c>
      <c r="G42" s="209">
        <v>3.177</v>
      </c>
      <c r="H42" s="209">
        <v>0.71799999999999997</v>
      </c>
      <c r="I42" s="209">
        <v>0</v>
      </c>
      <c r="K42" s="7" t="s">
        <v>410</v>
      </c>
      <c r="L42" s="7" t="s">
        <v>412</v>
      </c>
    </row>
    <row r="43" spans="1:14" s="7" customFormat="1">
      <c r="A43" s="208" t="s">
        <v>407</v>
      </c>
      <c r="B43" s="195" t="str">
        <f>[1]format!$B$104</f>
        <v>subsidieregeling innovaties duurzame binnenvaart</v>
      </c>
      <c r="C43" s="209">
        <v>0.25</v>
      </c>
      <c r="D43" s="209">
        <v>0.25</v>
      </c>
      <c r="E43" s="209">
        <v>0.25</v>
      </c>
      <c r="F43" s="209">
        <v>0.25</v>
      </c>
      <c r="G43" s="209">
        <v>0.25</v>
      </c>
      <c r="H43" s="209">
        <v>0.25</v>
      </c>
      <c r="I43" s="209">
        <v>0.25</v>
      </c>
      <c r="K43" s="7" t="s">
        <v>411</v>
      </c>
      <c r="L43" s="7" t="s">
        <v>245</v>
      </c>
    </row>
    <row r="44" spans="1:14" s="156" customFormat="1" ht="15">
      <c r="A44" s="154"/>
      <c r="B44" s="87" t="s">
        <v>112</v>
      </c>
      <c r="C44" s="155">
        <f t="shared" ref="C44:I44" si="1">SUM(C35:C43)</f>
        <v>37.777999999999999</v>
      </c>
      <c r="D44" s="155">
        <f t="shared" si="1"/>
        <v>29.655000000000001</v>
      </c>
      <c r="E44" s="155">
        <f t="shared" si="1"/>
        <v>35.720999999999997</v>
      </c>
      <c r="F44" s="155">
        <f t="shared" si="1"/>
        <v>15.936</v>
      </c>
      <c r="G44" s="155">
        <f t="shared" si="1"/>
        <v>16.369</v>
      </c>
      <c r="H44" s="155">
        <f t="shared" si="1"/>
        <v>13.372</v>
      </c>
      <c r="I44" s="155">
        <f t="shared" si="1"/>
        <v>6.7229999999999999</v>
      </c>
    </row>
    <row r="45" spans="1:14">
      <c r="C45" s="219"/>
      <c r="D45" s="95"/>
      <c r="E45" s="95"/>
      <c r="F45" s="95"/>
      <c r="G45" s="95"/>
      <c r="H45" s="95"/>
      <c r="I45" s="95"/>
    </row>
    <row r="46" spans="1:14" s="4" customFormat="1" ht="15">
      <c r="A46" s="105"/>
      <c r="B46" s="15" t="s">
        <v>2</v>
      </c>
      <c r="C46" s="17"/>
      <c r="D46" s="17"/>
      <c r="E46" s="17"/>
      <c r="F46" s="17"/>
      <c r="G46" s="17"/>
      <c r="H46" s="17"/>
      <c r="I46" s="17"/>
      <c r="J46" s="17"/>
      <c r="K46" s="17"/>
      <c r="L46" s="17"/>
    </row>
    <row r="47" spans="1:14" s="7" customFormat="1">
      <c r="A47" s="195" t="s">
        <v>55</v>
      </c>
      <c r="B47" s="195" t="s">
        <v>333</v>
      </c>
      <c r="C47" s="68">
        <v>2.1133000000000002</v>
      </c>
      <c r="D47" s="68">
        <v>3.4199000000000002</v>
      </c>
      <c r="E47" s="68">
        <v>3.1265000000000001</v>
      </c>
      <c r="F47" s="68">
        <v>2.9314</v>
      </c>
      <c r="G47" s="68">
        <v>2.8445</v>
      </c>
      <c r="H47" s="68">
        <v>2.8908</v>
      </c>
      <c r="I47" s="68">
        <v>2.8908</v>
      </c>
      <c r="J47" s="7">
        <v>10</v>
      </c>
      <c r="K47" s="7" t="s">
        <v>17</v>
      </c>
    </row>
    <row r="48" spans="1:14" s="7" customFormat="1">
      <c r="A48" s="195" t="s">
        <v>348</v>
      </c>
      <c r="B48" s="195" t="s">
        <v>349</v>
      </c>
      <c r="C48" s="68">
        <v>0.60240000000000005</v>
      </c>
      <c r="D48" s="68">
        <v>0.57899999999999996</v>
      </c>
      <c r="E48" s="68">
        <v>0.30159999999999998</v>
      </c>
      <c r="F48" s="68">
        <v>0</v>
      </c>
      <c r="G48" s="68">
        <v>0</v>
      </c>
      <c r="H48" s="68">
        <v>0</v>
      </c>
      <c r="I48" s="68">
        <v>0</v>
      </c>
      <c r="J48" s="7">
        <v>20</v>
      </c>
      <c r="K48" s="7" t="s">
        <v>14</v>
      </c>
    </row>
    <row r="49" spans="1:11" s="7" customFormat="1">
      <c r="A49" s="195" t="s">
        <v>25</v>
      </c>
      <c r="B49" s="195" t="s">
        <v>413</v>
      </c>
      <c r="C49" s="68">
        <v>1.0855999999999999</v>
      </c>
      <c r="D49" s="68">
        <v>0.72960000000000003</v>
      </c>
      <c r="E49" s="68">
        <v>0.192</v>
      </c>
      <c r="F49" s="68">
        <v>0</v>
      </c>
      <c r="G49" s="68">
        <v>0</v>
      </c>
      <c r="H49" s="68">
        <v>0</v>
      </c>
      <c r="I49" s="68">
        <v>0</v>
      </c>
      <c r="J49" s="73">
        <v>80</v>
      </c>
      <c r="K49" s="7" t="s">
        <v>29</v>
      </c>
    </row>
    <row r="50" spans="1:11" s="7" customFormat="1">
      <c r="A50" s="195" t="s">
        <v>350</v>
      </c>
      <c r="B50" s="195" t="s">
        <v>415</v>
      </c>
      <c r="C50" s="68">
        <v>2.3849999999999998</v>
      </c>
      <c r="D50" s="68">
        <v>1</v>
      </c>
      <c r="E50" s="68">
        <v>0</v>
      </c>
      <c r="F50" s="68">
        <v>0</v>
      </c>
      <c r="G50" s="68">
        <v>0</v>
      </c>
      <c r="H50" s="68">
        <v>0</v>
      </c>
      <c r="I50" s="68">
        <v>0</v>
      </c>
      <c r="J50" s="7">
        <v>100</v>
      </c>
      <c r="K50" s="7" t="s">
        <v>14</v>
      </c>
    </row>
    <row r="51" spans="1:11" s="7" customFormat="1">
      <c r="A51" s="195" t="s">
        <v>350</v>
      </c>
      <c r="B51" s="195" t="s">
        <v>414</v>
      </c>
      <c r="C51" s="68">
        <v>4.3647999999999998</v>
      </c>
      <c r="D51" s="68">
        <v>5.8192000000000004</v>
      </c>
      <c r="E51" s="68">
        <v>8.0223999999999993</v>
      </c>
      <c r="F51" s="68">
        <v>6.2720000000000002</v>
      </c>
      <c r="G51" s="68">
        <v>7.0728</v>
      </c>
      <c r="H51" s="68">
        <v>7.3380000000000001</v>
      </c>
      <c r="I51" s="68">
        <v>7.3380000000000001</v>
      </c>
      <c r="J51" s="7">
        <v>40</v>
      </c>
      <c r="K51" s="7" t="s">
        <v>33</v>
      </c>
    </row>
    <row r="52" spans="1:11" s="7" customFormat="1">
      <c r="A52" s="195" t="s">
        <v>57</v>
      </c>
      <c r="B52" s="195" t="s">
        <v>351</v>
      </c>
      <c r="C52" s="68">
        <v>19.73188</v>
      </c>
      <c r="D52" s="68">
        <v>24.641100000000002</v>
      </c>
      <c r="E52" s="68">
        <v>19.029450000000001</v>
      </c>
      <c r="F52" s="68">
        <v>21.448530000000002</v>
      </c>
      <c r="G52" s="68">
        <v>21.448530000000002</v>
      </c>
      <c r="H52" s="68">
        <v>21.448530000000002</v>
      </c>
      <c r="I52" s="68">
        <v>21.448530000000002</v>
      </c>
      <c r="J52" s="7">
        <v>19</v>
      </c>
      <c r="K52" s="7" t="s">
        <v>11</v>
      </c>
    </row>
    <row r="53" spans="1:11" s="7" customFormat="1">
      <c r="A53" s="195" t="s">
        <v>329</v>
      </c>
      <c r="B53" s="195" t="s">
        <v>330</v>
      </c>
      <c r="C53" s="68">
        <v>20.952000000000002</v>
      </c>
      <c r="D53" s="68">
        <v>7.0743999999999998</v>
      </c>
      <c r="E53" s="68">
        <v>17.166399999999999</v>
      </c>
      <c r="F53" s="68">
        <v>12.549200000000001</v>
      </c>
      <c r="G53" s="68">
        <v>10.95</v>
      </c>
      <c r="H53" s="68">
        <v>9.6544000000000008</v>
      </c>
      <c r="I53" s="68">
        <v>10.270799999999999</v>
      </c>
      <c r="J53" s="7">
        <v>40</v>
      </c>
      <c r="K53" s="7" t="s">
        <v>14</v>
      </c>
    </row>
    <row r="54" spans="1:11" s="7" customFormat="1">
      <c r="A54" s="195" t="s">
        <v>329</v>
      </c>
      <c r="B54" s="195" t="s">
        <v>303</v>
      </c>
      <c r="C54" s="68">
        <v>0.22844999999999999</v>
      </c>
      <c r="D54" s="68">
        <v>0.18629999999999999</v>
      </c>
      <c r="E54" s="68">
        <v>0</v>
      </c>
      <c r="F54" s="68">
        <v>0</v>
      </c>
      <c r="G54" s="68">
        <v>0</v>
      </c>
      <c r="H54" s="68">
        <v>0</v>
      </c>
      <c r="I54" s="68">
        <v>0</v>
      </c>
      <c r="J54" s="7">
        <v>5</v>
      </c>
      <c r="K54" s="7" t="s">
        <v>33</v>
      </c>
    </row>
    <row r="55" spans="1:11" s="177" customFormat="1">
      <c r="A55" s="185"/>
      <c r="B55" s="185"/>
      <c r="C55" s="178"/>
      <c r="D55" s="178"/>
      <c r="E55" s="178"/>
      <c r="F55" s="178"/>
      <c r="G55" s="178"/>
      <c r="H55" s="178"/>
      <c r="I55" s="178"/>
    </row>
    <row r="56" spans="1:11" s="7" customFormat="1">
      <c r="A56" s="195" t="s">
        <v>56</v>
      </c>
      <c r="B56" s="195" t="s">
        <v>332</v>
      </c>
      <c r="C56" s="68">
        <v>2.9712000000000001</v>
      </c>
      <c r="D56" s="68">
        <v>7.1487999999999996</v>
      </c>
      <c r="E56" s="68">
        <v>4.0526</v>
      </c>
      <c r="F56" s="68">
        <v>5.6247999999999996</v>
      </c>
      <c r="G56" s="68">
        <v>5.2686000000000002</v>
      </c>
      <c r="H56" s="68">
        <v>5.4287999999999998</v>
      </c>
      <c r="I56" s="68">
        <v>5.6087999999999996</v>
      </c>
      <c r="J56" s="7">
        <v>20</v>
      </c>
      <c r="K56" s="7" t="s">
        <v>14</v>
      </c>
    </row>
    <row r="57" spans="1:11" s="7" customFormat="1">
      <c r="A57" s="195" t="s">
        <v>56</v>
      </c>
      <c r="B57" s="195" t="s">
        <v>497</v>
      </c>
      <c r="C57" s="68">
        <v>0</v>
      </c>
      <c r="D57" s="68">
        <v>0</v>
      </c>
      <c r="E57" s="68">
        <v>4.5999999999999996</v>
      </c>
      <c r="F57" s="68">
        <v>4.5999999999999996</v>
      </c>
      <c r="G57" s="68">
        <v>4.5999999999999996</v>
      </c>
      <c r="H57" s="68">
        <v>4.5999999999999996</v>
      </c>
      <c r="I57" s="68">
        <v>4.5999999999999996</v>
      </c>
      <c r="J57" s="7">
        <v>20</v>
      </c>
      <c r="K57" s="7" t="s">
        <v>14</v>
      </c>
    </row>
    <row r="58" spans="1:11" s="7" customFormat="1">
      <c r="A58" s="195" t="s">
        <v>15</v>
      </c>
      <c r="B58" s="195" t="s">
        <v>334</v>
      </c>
      <c r="C58" s="68">
        <v>0.6</v>
      </c>
      <c r="D58" s="68">
        <v>7.34</v>
      </c>
      <c r="E58" s="68">
        <v>6.52</v>
      </c>
      <c r="F58" s="68">
        <v>5.0784000000000002</v>
      </c>
      <c r="G58" s="68">
        <v>4.7702</v>
      </c>
      <c r="H58" s="68">
        <v>6.5865999999999998</v>
      </c>
      <c r="I58" s="68">
        <v>8.5983999999999998</v>
      </c>
      <c r="J58" s="7">
        <v>20</v>
      </c>
      <c r="K58" s="7" t="s">
        <v>14</v>
      </c>
    </row>
    <row r="59" spans="1:11" s="7" customFormat="1">
      <c r="A59" s="195" t="s">
        <v>476</v>
      </c>
      <c r="B59" s="195" t="s">
        <v>418</v>
      </c>
      <c r="C59" s="68">
        <f>2.734+1.95</f>
        <v>4.6840000000000002</v>
      </c>
      <c r="D59" s="68">
        <f>4.28+2.301</f>
        <v>6.5810000000000004</v>
      </c>
      <c r="E59" s="68">
        <f>3.654+2.001</f>
        <v>5.6549999999999994</v>
      </c>
      <c r="F59" s="68">
        <f>7.655+3.451</f>
        <v>11.106</v>
      </c>
      <c r="G59" s="68">
        <f>5.757+2.451</f>
        <v>8.2080000000000002</v>
      </c>
      <c r="H59" s="68">
        <f>5.757+2.451</f>
        <v>8.2080000000000002</v>
      </c>
      <c r="I59" s="68">
        <f>5.757+2.251</f>
        <v>8.0079999999999991</v>
      </c>
      <c r="J59" s="7">
        <v>50</v>
      </c>
      <c r="K59" s="7" t="s">
        <v>14</v>
      </c>
    </row>
    <row r="60" spans="1:11" s="7" customFormat="1">
      <c r="A60" s="195" t="s">
        <v>419</v>
      </c>
      <c r="B60" s="195" t="s">
        <v>420</v>
      </c>
      <c r="C60" s="68">
        <v>0</v>
      </c>
      <c r="D60" s="68">
        <v>45.165999999999997</v>
      </c>
      <c r="E60" s="68">
        <v>0</v>
      </c>
      <c r="F60" s="68">
        <v>0</v>
      </c>
      <c r="G60" s="68">
        <v>0</v>
      </c>
      <c r="H60" s="68">
        <v>0</v>
      </c>
      <c r="I60" s="68">
        <v>0</v>
      </c>
      <c r="J60" s="7">
        <v>100</v>
      </c>
      <c r="K60" s="7" t="s">
        <v>14</v>
      </c>
    </row>
    <row r="61" spans="1:11" s="177" customFormat="1">
      <c r="A61" s="185"/>
      <c r="B61" s="185"/>
      <c r="C61" s="178"/>
      <c r="D61" s="178"/>
      <c r="E61" s="178"/>
      <c r="F61" s="178"/>
      <c r="G61" s="178"/>
      <c r="H61" s="178"/>
      <c r="I61" s="178"/>
    </row>
    <row r="62" spans="1:11" s="7" customFormat="1">
      <c r="A62" s="145" t="s">
        <v>478</v>
      </c>
      <c r="B62" s="195" t="s">
        <v>352</v>
      </c>
      <c r="C62" s="68">
        <f>27.387+15.854</f>
        <v>43.241</v>
      </c>
      <c r="D62" s="68">
        <f>26.7+36.63</f>
        <v>63.33</v>
      </c>
      <c r="E62" s="68">
        <f>24.816+36.45</f>
        <v>61.266000000000005</v>
      </c>
      <c r="F62" s="68">
        <f>20.078+36.24</f>
        <v>56.317999999999998</v>
      </c>
      <c r="G62" s="68">
        <f>23.618+37.5</f>
        <v>61.117999999999995</v>
      </c>
      <c r="H62" s="68">
        <f>23.618+37.5</f>
        <v>61.117999999999995</v>
      </c>
      <c r="I62" s="68">
        <f>23.618+13.125</f>
        <v>36.742999999999995</v>
      </c>
      <c r="J62" s="7">
        <v>75</v>
      </c>
      <c r="K62" s="7" t="s">
        <v>14</v>
      </c>
    </row>
    <row r="63" spans="1:11" s="199" customFormat="1">
      <c r="A63" s="101" t="s">
        <v>478</v>
      </c>
      <c r="B63" s="198" t="s">
        <v>353</v>
      </c>
      <c r="C63" s="150">
        <v>12.966750000000001</v>
      </c>
      <c r="D63" s="150">
        <v>13.4985</v>
      </c>
      <c r="E63" s="150">
        <v>1.776</v>
      </c>
      <c r="F63" s="150">
        <v>1.776</v>
      </c>
      <c r="G63" s="150">
        <v>1.776</v>
      </c>
      <c r="H63" s="150">
        <v>1.776</v>
      </c>
      <c r="I63" s="150">
        <v>1.776</v>
      </c>
      <c r="J63" s="199">
        <v>75</v>
      </c>
      <c r="K63" s="199" t="s">
        <v>14</v>
      </c>
    </row>
    <row r="64" spans="1:11" s="199" customFormat="1">
      <c r="A64" s="101" t="s">
        <v>478</v>
      </c>
      <c r="B64" s="198" t="s">
        <v>480</v>
      </c>
      <c r="C64" s="150">
        <v>4.4630000000000001</v>
      </c>
      <c r="D64" s="150">
        <v>0.56299999999999994</v>
      </c>
      <c r="E64" s="150">
        <v>0</v>
      </c>
      <c r="F64" s="150">
        <v>0</v>
      </c>
      <c r="G64" s="150">
        <v>0</v>
      </c>
      <c r="H64" s="150">
        <v>0</v>
      </c>
      <c r="I64" s="150">
        <v>0</v>
      </c>
      <c r="J64" s="199">
        <v>74</v>
      </c>
      <c r="K64" s="199" t="s">
        <v>14</v>
      </c>
    </row>
    <row r="65" spans="1:12" s="7" customFormat="1">
      <c r="A65" s="145" t="s">
        <v>478</v>
      </c>
      <c r="B65" s="195" t="s">
        <v>393</v>
      </c>
      <c r="C65" s="68">
        <v>7.1071</v>
      </c>
      <c r="D65" s="68">
        <v>12.95</v>
      </c>
      <c r="E65" s="68">
        <v>28.7</v>
      </c>
      <c r="F65" s="68">
        <v>34.299999999999997</v>
      </c>
      <c r="G65" s="68">
        <v>34.299999999999997</v>
      </c>
      <c r="H65" s="68">
        <v>34.299999999999997</v>
      </c>
      <c r="I65" s="68">
        <v>34.299999999999997</v>
      </c>
      <c r="J65" s="7">
        <v>70</v>
      </c>
      <c r="K65" s="7" t="s">
        <v>59</v>
      </c>
    </row>
    <row r="66" spans="1:12" s="212" customFormat="1">
      <c r="A66" s="211"/>
      <c r="B66" s="212" t="s">
        <v>310</v>
      </c>
      <c r="C66" s="213">
        <f>SUM(C47:C65)</f>
        <v>127.49648000000001</v>
      </c>
      <c r="D66" s="213">
        <f t="shared" ref="D66:I66" si="2">SUM(D47:D65)</f>
        <v>200.02679999999998</v>
      </c>
      <c r="E66" s="213">
        <f t="shared" si="2"/>
        <v>160.40795000000003</v>
      </c>
      <c r="F66" s="213">
        <f t="shared" si="2"/>
        <v>162.00432999999998</v>
      </c>
      <c r="G66" s="213">
        <f t="shared" si="2"/>
        <v>162.35663</v>
      </c>
      <c r="H66" s="213">
        <f t="shared" si="2"/>
        <v>163.34913</v>
      </c>
      <c r="I66" s="213">
        <f t="shared" si="2"/>
        <v>141.58232999999998</v>
      </c>
    </row>
    <row r="67" spans="1:12" s="212" customFormat="1">
      <c r="A67" s="211"/>
      <c r="C67" s="213"/>
      <c r="D67" s="213"/>
      <c r="E67" s="213"/>
      <c r="F67" s="213"/>
      <c r="G67" s="213"/>
      <c r="H67" s="213"/>
      <c r="I67" s="213"/>
    </row>
    <row r="68" spans="1:12" s="7" customFormat="1">
      <c r="A68" s="145">
        <v>16</v>
      </c>
      <c r="B68" s="145" t="s">
        <v>417</v>
      </c>
      <c r="C68" s="214">
        <v>11.452999999999999</v>
      </c>
      <c r="D68" s="214">
        <v>11.285</v>
      </c>
      <c r="E68" s="214">
        <v>3.0539999999999998</v>
      </c>
      <c r="F68" s="214">
        <v>1</v>
      </c>
      <c r="G68" s="214">
        <v>1</v>
      </c>
      <c r="H68" s="214">
        <v>1</v>
      </c>
      <c r="I68" s="214">
        <v>1</v>
      </c>
      <c r="J68" s="7">
        <v>100</v>
      </c>
      <c r="K68" s="7" t="s">
        <v>14</v>
      </c>
    </row>
    <row r="69" spans="1:12" s="7" customFormat="1">
      <c r="A69" s="145">
        <v>16</v>
      </c>
      <c r="B69" s="145" t="s">
        <v>416</v>
      </c>
      <c r="C69" s="214">
        <v>8.1559999999999988</v>
      </c>
      <c r="D69" s="214">
        <v>14.559000000000001</v>
      </c>
      <c r="E69" s="214">
        <v>7.8889999999999993</v>
      </c>
      <c r="F69" s="214">
        <v>4.9350000000000005</v>
      </c>
      <c r="G69" s="214">
        <v>6.9390000000000001</v>
      </c>
      <c r="H69" s="214">
        <v>10.939</v>
      </c>
      <c r="I69" s="214">
        <v>10.939</v>
      </c>
      <c r="J69" s="7">
        <v>100</v>
      </c>
      <c r="K69" s="7" t="s">
        <v>14</v>
      </c>
    </row>
    <row r="70" spans="1:12" s="217" customFormat="1">
      <c r="A70" s="215"/>
      <c r="B70" s="215" t="s">
        <v>311</v>
      </c>
      <c r="C70" s="216">
        <f t="shared" ref="C70:I70" si="3">SUM(C68:C69)</f>
        <v>19.608999999999998</v>
      </c>
      <c r="D70" s="216">
        <f t="shared" si="3"/>
        <v>25.844000000000001</v>
      </c>
      <c r="E70" s="216">
        <f t="shared" si="3"/>
        <v>10.943</v>
      </c>
      <c r="F70" s="216">
        <f t="shared" si="3"/>
        <v>5.9350000000000005</v>
      </c>
      <c r="G70" s="216">
        <f t="shared" si="3"/>
        <v>7.9390000000000001</v>
      </c>
      <c r="H70" s="216">
        <f t="shared" si="3"/>
        <v>11.939</v>
      </c>
      <c r="I70" s="216">
        <f t="shared" si="3"/>
        <v>11.939</v>
      </c>
    </row>
    <row r="72" spans="1:12" s="2" customFormat="1" ht="15">
      <c r="A72" s="106"/>
      <c r="B72" s="3" t="s">
        <v>54</v>
      </c>
      <c r="C72" s="19">
        <f t="shared" ref="C72:I72" si="4">+C66+C70</f>
        <v>147.10548</v>
      </c>
      <c r="D72" s="19">
        <f t="shared" si="4"/>
        <v>225.87079999999997</v>
      </c>
      <c r="E72" s="19">
        <f t="shared" si="4"/>
        <v>171.35095000000004</v>
      </c>
      <c r="F72" s="19">
        <f t="shared" si="4"/>
        <v>167.93932999999998</v>
      </c>
      <c r="G72" s="19">
        <f t="shared" si="4"/>
        <v>170.29562999999999</v>
      </c>
      <c r="H72" s="19">
        <f t="shared" si="4"/>
        <v>175.28813</v>
      </c>
      <c r="I72" s="19">
        <f t="shared" si="4"/>
        <v>153.52132999999998</v>
      </c>
    </row>
    <row r="73" spans="1:12" s="2" customFormat="1" ht="15">
      <c r="A73" s="106"/>
      <c r="B73" s="3"/>
      <c r="C73" s="19"/>
      <c r="D73" s="19"/>
      <c r="E73" s="19"/>
      <c r="F73" s="19"/>
      <c r="G73" s="19"/>
      <c r="H73" s="19"/>
      <c r="I73" s="19"/>
    </row>
    <row r="74" spans="1:12" s="4" customFormat="1" ht="15">
      <c r="A74" s="105"/>
      <c r="B74" s="15" t="s">
        <v>113</v>
      </c>
      <c r="C74" s="17"/>
      <c r="D74" s="17"/>
      <c r="E74" s="17"/>
      <c r="F74" s="17"/>
      <c r="G74" s="17"/>
      <c r="H74" s="17"/>
      <c r="I74" s="17"/>
      <c r="J74" s="17"/>
      <c r="K74" s="17"/>
      <c r="L74" s="17"/>
    </row>
    <row r="75" spans="1:12" s="7" customFormat="1">
      <c r="A75" s="101">
        <v>2</v>
      </c>
      <c r="B75" s="101" t="s">
        <v>456</v>
      </c>
      <c r="C75" s="88">
        <v>0.157</v>
      </c>
      <c r="D75" s="88">
        <v>0.80400000000000005</v>
      </c>
      <c r="E75" s="88">
        <v>1.2050000000000001</v>
      </c>
      <c r="F75" s="88">
        <v>2.2189999999999999</v>
      </c>
      <c r="G75" s="88">
        <v>2.2690000000000001</v>
      </c>
      <c r="H75" s="88">
        <v>1.8859999999999999</v>
      </c>
      <c r="I75" s="88">
        <v>1.4590000000000001</v>
      </c>
      <c r="J75" s="242">
        <f>E75/6802.144*100</f>
        <v>1.7715002799117457E-2</v>
      </c>
      <c r="K75" s="7" t="s">
        <v>227</v>
      </c>
    </row>
    <row r="76" spans="1:12" s="7" customFormat="1">
      <c r="A76" s="101">
        <v>13</v>
      </c>
      <c r="B76" s="101" t="s">
        <v>455</v>
      </c>
      <c r="C76" s="88">
        <v>2.8450000000000002</v>
      </c>
      <c r="D76" s="88">
        <v>3.24</v>
      </c>
      <c r="E76" s="88">
        <v>3.24</v>
      </c>
      <c r="F76" s="88">
        <v>1.65</v>
      </c>
      <c r="G76" s="88">
        <v>1.65</v>
      </c>
      <c r="H76" s="88">
        <v>2.25</v>
      </c>
      <c r="I76" s="88">
        <v>2.25</v>
      </c>
      <c r="J76" s="186">
        <f>E76/323.35*100</f>
        <v>1.0020102056595022</v>
      </c>
      <c r="K76" s="7" t="s">
        <v>9</v>
      </c>
    </row>
    <row r="77" spans="1:12" s="39" customFormat="1" ht="15">
      <c r="A77" s="82"/>
      <c r="B77" s="3" t="s">
        <v>116</v>
      </c>
      <c r="C77" s="89">
        <f>SUM(C75:C76)</f>
        <v>3.0020000000000002</v>
      </c>
      <c r="D77" s="89">
        <f t="shared" ref="D77:I77" si="5">SUM(D75:D76)</f>
        <v>4.0440000000000005</v>
      </c>
      <c r="E77" s="89">
        <f t="shared" si="5"/>
        <v>4.4450000000000003</v>
      </c>
      <c r="F77" s="89">
        <f t="shared" si="5"/>
        <v>3.8689999999999998</v>
      </c>
      <c r="G77" s="89">
        <f t="shared" si="5"/>
        <v>3.919</v>
      </c>
      <c r="H77" s="89">
        <f t="shared" si="5"/>
        <v>4.1360000000000001</v>
      </c>
      <c r="I77" s="89">
        <f t="shared" si="5"/>
        <v>3.7090000000000001</v>
      </c>
    </row>
    <row r="78" spans="1:12" s="2" customFormat="1" ht="15">
      <c r="A78" s="106"/>
      <c r="B78" s="3"/>
      <c r="C78" s="19"/>
      <c r="D78" s="19"/>
      <c r="E78" s="19"/>
      <c r="F78" s="19"/>
      <c r="G78" s="19"/>
      <c r="H78" s="19"/>
      <c r="I78" s="19"/>
    </row>
    <row r="79" spans="1:12" s="2" customFormat="1" ht="15">
      <c r="A79" s="105"/>
      <c r="B79" s="29" t="s">
        <v>114</v>
      </c>
      <c r="C79" s="17"/>
      <c r="D79" s="17"/>
      <c r="E79" s="17"/>
      <c r="F79" s="17"/>
      <c r="G79" s="17"/>
      <c r="H79" s="17"/>
      <c r="I79" s="17"/>
      <c r="J79" s="17"/>
      <c r="K79" s="17"/>
      <c r="L79" s="17"/>
    </row>
    <row r="80" spans="1:12" s="7" customFormat="1">
      <c r="A80" s="144" t="s">
        <v>235</v>
      </c>
      <c r="B80" s="7" t="s">
        <v>459</v>
      </c>
      <c r="C80" s="7">
        <v>0.215</v>
      </c>
      <c r="D80" s="7">
        <v>0.215</v>
      </c>
      <c r="E80" s="7">
        <v>0.215</v>
      </c>
      <c r="F80" s="7">
        <v>0.215</v>
      </c>
      <c r="G80" s="68">
        <v>0</v>
      </c>
      <c r="H80" s="68">
        <v>0</v>
      </c>
      <c r="I80" s="68">
        <v>0</v>
      </c>
      <c r="J80" s="7">
        <v>0.1</v>
      </c>
      <c r="K80" s="7" t="s">
        <v>239</v>
      </c>
      <c r="L80" s="7" t="s">
        <v>240</v>
      </c>
    </row>
    <row r="81" spans="1:12" s="7" customFormat="1">
      <c r="A81" s="144" t="s">
        <v>235</v>
      </c>
      <c r="B81" s="7" t="s">
        <v>460</v>
      </c>
      <c r="C81" s="68">
        <v>0.252</v>
      </c>
      <c r="D81" s="68">
        <v>0.25</v>
      </c>
      <c r="E81" s="68">
        <v>0.25</v>
      </c>
      <c r="F81" s="68">
        <v>0.25</v>
      </c>
      <c r="G81" s="68">
        <v>0</v>
      </c>
      <c r="H81" s="68">
        <v>0</v>
      </c>
      <c r="I81" s="68">
        <v>0</v>
      </c>
      <c r="J81" s="7">
        <v>0.2</v>
      </c>
      <c r="K81" s="7" t="s">
        <v>9</v>
      </c>
      <c r="L81" s="7" t="s">
        <v>241</v>
      </c>
    </row>
    <row r="82" spans="1:12" s="7" customFormat="1">
      <c r="A82" s="144" t="s">
        <v>235</v>
      </c>
      <c r="B82" s="7" t="s">
        <v>462</v>
      </c>
      <c r="C82" s="120">
        <v>0.92500000000000004</v>
      </c>
      <c r="D82" s="120">
        <v>2</v>
      </c>
      <c r="E82" s="120">
        <v>0</v>
      </c>
      <c r="F82" s="120">
        <v>0</v>
      </c>
      <c r="G82" s="120">
        <v>0</v>
      </c>
      <c r="H82" s="120">
        <v>0</v>
      </c>
      <c r="I82" s="120">
        <v>0</v>
      </c>
      <c r="J82" s="186">
        <f>0.132855055134848*100</f>
        <v>13.2855055134848</v>
      </c>
      <c r="K82" s="7" t="s">
        <v>9</v>
      </c>
      <c r="L82" s="7" t="s">
        <v>242</v>
      </c>
    </row>
    <row r="83" spans="1:12" s="7" customFormat="1">
      <c r="A83" s="144" t="s">
        <v>235</v>
      </c>
      <c r="B83" s="7" t="s">
        <v>461</v>
      </c>
      <c r="C83" s="68">
        <v>0.25</v>
      </c>
      <c r="D83" s="68">
        <v>0.25</v>
      </c>
      <c r="E83" s="68">
        <v>0.25</v>
      </c>
      <c r="F83" s="68">
        <v>0.25</v>
      </c>
      <c r="G83" s="68">
        <v>0.25</v>
      </c>
      <c r="H83" s="68">
        <v>0.25</v>
      </c>
      <c r="I83" s="68">
        <v>0.25</v>
      </c>
      <c r="J83" s="7">
        <v>0.2</v>
      </c>
      <c r="K83" s="7" t="s">
        <v>9</v>
      </c>
      <c r="L83" s="7" t="s">
        <v>243</v>
      </c>
    </row>
    <row r="84" spans="1:12" s="7" customFormat="1">
      <c r="A84" s="144" t="s">
        <v>232</v>
      </c>
      <c r="B84" s="7" t="s">
        <v>421</v>
      </c>
      <c r="C84" s="68">
        <v>1</v>
      </c>
      <c r="D84" s="68">
        <v>1</v>
      </c>
      <c r="E84" s="68">
        <v>1</v>
      </c>
      <c r="F84" s="68">
        <v>1</v>
      </c>
      <c r="G84" s="68">
        <v>1</v>
      </c>
      <c r="H84" s="68">
        <v>1</v>
      </c>
      <c r="I84" s="68">
        <v>1</v>
      </c>
      <c r="J84" s="186">
        <v>11.3</v>
      </c>
      <c r="K84" s="7" t="s">
        <v>9</v>
      </c>
      <c r="L84" s="7" t="s">
        <v>422</v>
      </c>
    </row>
    <row r="85" spans="1:12" s="2" customFormat="1" ht="15">
      <c r="A85" s="106"/>
      <c r="B85" s="3" t="s">
        <v>117</v>
      </c>
      <c r="C85" s="19">
        <f t="shared" ref="C85:I85" si="6">SUM(C80:C84)</f>
        <v>2.6419999999999999</v>
      </c>
      <c r="D85" s="19">
        <f t="shared" si="6"/>
        <v>3.7149999999999999</v>
      </c>
      <c r="E85" s="19">
        <f t="shared" si="6"/>
        <v>1.7149999999999999</v>
      </c>
      <c r="F85" s="19">
        <f t="shared" si="6"/>
        <v>1.7149999999999999</v>
      </c>
      <c r="G85" s="19">
        <f t="shared" si="6"/>
        <v>1.25</v>
      </c>
      <c r="H85" s="19">
        <f t="shared" si="6"/>
        <v>1.25</v>
      </c>
      <c r="I85" s="19">
        <f t="shared" si="6"/>
        <v>1.25</v>
      </c>
    </row>
    <row r="86" spans="1:12" s="4" customFormat="1">
      <c r="A86" s="8"/>
    </row>
    <row r="87" spans="1:12" s="20" customFormat="1" ht="15.75">
      <c r="A87" s="107"/>
      <c r="B87" s="35" t="s">
        <v>115</v>
      </c>
      <c r="C87" s="41">
        <f>SUM(C32,C44,C72,C77,C85)</f>
        <v>241.93647999999999</v>
      </c>
      <c r="D87" s="41">
        <f t="shared" ref="D87:I87" si="7">SUM(D32,D44,D72,D77,D85)</f>
        <v>324.00579999999991</v>
      </c>
      <c r="E87" s="41">
        <f t="shared" si="7"/>
        <v>281.70495</v>
      </c>
      <c r="F87" s="41">
        <f t="shared" si="7"/>
        <v>276.21132999999992</v>
      </c>
      <c r="G87" s="41">
        <f t="shared" si="7"/>
        <v>268.07362999999998</v>
      </c>
      <c r="H87" s="41">
        <f t="shared" si="7"/>
        <v>261.72113000000002</v>
      </c>
      <c r="I87" s="41">
        <f t="shared" si="7"/>
        <v>230.30332999999996</v>
      </c>
      <c r="J87" s="40"/>
      <c r="K87" s="40"/>
      <c r="L87" s="40"/>
    </row>
    <row r="95" spans="1:12" ht="15">
      <c r="A95" s="45"/>
    </row>
    <row r="96" spans="1:12" ht="15">
      <c r="A96" s="45"/>
    </row>
    <row r="97" spans="1:1" ht="15">
      <c r="A97" s="45"/>
    </row>
    <row r="98" spans="1:1" ht="15">
      <c r="A98" s="45"/>
    </row>
  </sheetData>
  <pageMargins left="0.70866141732283472" right="0.70866141732283472" top="0.74803149606299213" bottom="0.74803149606299213" header="0.31496062992125984" footer="0.31496062992125984"/>
  <pageSetup paperSize="8" scale="31" orientation="portrait" r:id="rId1"/>
  <headerFooter>
    <oddFooter>&amp;L&amp;Z&amp;F</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7"/>
  <sheetViews>
    <sheetView workbookViewId="0"/>
  </sheetViews>
  <sheetFormatPr defaultRowHeight="12.75"/>
  <cols>
    <col min="1" max="1" width="36.85546875" style="18" bestFit="1" customWidth="1"/>
    <col min="2" max="16384" width="9.140625" style="18"/>
  </cols>
  <sheetData>
    <row r="1" spans="1:8" ht="18.75">
      <c r="A1" s="94" t="s">
        <v>354</v>
      </c>
    </row>
    <row r="3" spans="1:8">
      <c r="A3" s="95" t="s">
        <v>306</v>
      </c>
      <c r="B3" s="95"/>
      <c r="C3" s="95"/>
      <c r="D3" s="95"/>
      <c r="E3" s="95"/>
      <c r="F3" s="95"/>
      <c r="G3" s="95"/>
      <c r="H3" s="95"/>
    </row>
    <row r="4" spans="1:8">
      <c r="B4" s="95">
        <f>Innovatie!C3</f>
        <v>2015</v>
      </c>
      <c r="C4" s="95">
        <f>Innovatie!D3</f>
        <v>2016</v>
      </c>
      <c r="D4" s="95">
        <f>Innovatie!E3</f>
        <v>2017</v>
      </c>
      <c r="E4" s="95">
        <f>Innovatie!F3</f>
        <v>2018</v>
      </c>
      <c r="F4" s="95">
        <f>Innovatie!G3</f>
        <v>2019</v>
      </c>
      <c r="G4" s="95">
        <f>Innovatie!H3</f>
        <v>2020</v>
      </c>
      <c r="H4" s="95">
        <f>Innovatie!I3</f>
        <v>2021</v>
      </c>
    </row>
    <row r="5" spans="1:8">
      <c r="A5" s="18" t="s">
        <v>190</v>
      </c>
      <c r="B5" s="96">
        <f>'R&amp;D'!C8</f>
        <v>0.58299999999999996</v>
      </c>
      <c r="C5" s="96">
        <f>'R&amp;D'!D8</f>
        <v>0.59399999999999997</v>
      </c>
      <c r="D5" s="96">
        <f>'R&amp;D'!E8</f>
        <v>0.59399999999999997</v>
      </c>
      <c r="E5" s="96">
        <f>'R&amp;D'!F8</f>
        <v>0.59399999999999997</v>
      </c>
      <c r="F5" s="96">
        <f>'R&amp;D'!G8</f>
        <v>0.59399999999999997</v>
      </c>
      <c r="G5" s="96">
        <f>'R&amp;D'!H8</f>
        <v>0.59399999999999997</v>
      </c>
      <c r="H5" s="96">
        <f>'R&amp;D'!I8</f>
        <v>0.59399999999999997</v>
      </c>
    </row>
    <row r="6" spans="1:8" s="4" customFormat="1">
      <c r="A6" s="4" t="s">
        <v>191</v>
      </c>
      <c r="B6" s="77">
        <f>'R&amp;D'!C17</f>
        <v>34.914000000000001</v>
      </c>
      <c r="C6" s="77">
        <f>'R&amp;D'!D17</f>
        <v>39.9</v>
      </c>
      <c r="D6" s="77">
        <f>'R&amp;D'!E17</f>
        <v>37.466000000000001</v>
      </c>
      <c r="E6" s="77">
        <f>'R&amp;D'!F17</f>
        <v>37.757000000000005</v>
      </c>
      <c r="F6" s="77">
        <f>'R&amp;D'!G17</f>
        <v>37.841999999999999</v>
      </c>
      <c r="G6" s="77">
        <f>'R&amp;D'!H17</f>
        <v>37.841999999999999</v>
      </c>
      <c r="H6" s="77">
        <f>'R&amp;D'!I17</f>
        <v>37.841999999999999</v>
      </c>
    </row>
    <row r="7" spans="1:8">
      <c r="A7" s="18" t="s">
        <v>192</v>
      </c>
      <c r="B7" s="96">
        <f>'R&amp;D'!C24</f>
        <v>22.096</v>
      </c>
      <c r="C7" s="96">
        <f>'R&amp;D'!D24</f>
        <v>21.521000000000001</v>
      </c>
      <c r="D7" s="96">
        <f>'R&amp;D'!E24</f>
        <v>21.111000000000001</v>
      </c>
      <c r="E7" s="96">
        <f>'R&amp;D'!F24</f>
        <v>20.972000000000001</v>
      </c>
      <c r="F7" s="96">
        <f>'R&amp;D'!G24</f>
        <v>21.007000000000001</v>
      </c>
      <c r="G7" s="96">
        <f>'R&amp;D'!H24</f>
        <v>21.017000000000003</v>
      </c>
      <c r="H7" s="96">
        <f>'R&amp;D'!I24</f>
        <v>21.02</v>
      </c>
    </row>
    <row r="8" spans="1:8">
      <c r="A8" s="18" t="s">
        <v>193</v>
      </c>
      <c r="B8" s="96">
        <f>'R&amp;D'!C30</f>
        <v>12.233000000000001</v>
      </c>
      <c r="C8" s="96">
        <f>'R&amp;D'!D30</f>
        <v>12.789</v>
      </c>
      <c r="D8" s="96">
        <f>'R&amp;D'!E30</f>
        <v>10.373999999999999</v>
      </c>
      <c r="E8" s="96">
        <f>'R&amp;D'!F30</f>
        <v>8.91</v>
      </c>
      <c r="F8" s="96">
        <f>'R&amp;D'!G30</f>
        <v>8.9459999999999997</v>
      </c>
      <c r="G8" s="96">
        <f>'R&amp;D'!H30</f>
        <v>9.26</v>
      </c>
      <c r="H8" s="96">
        <f>'R&amp;D'!I30</f>
        <v>10.66</v>
      </c>
    </row>
    <row r="9" spans="1:8" s="4" customFormat="1">
      <c r="A9" s="4" t="s">
        <v>194</v>
      </c>
      <c r="B9" s="77">
        <f>'R&amp;D'!C63</f>
        <v>3599.0105549236764</v>
      </c>
      <c r="C9" s="77">
        <f>'R&amp;D'!D63</f>
        <v>3668.4681846232079</v>
      </c>
      <c r="D9" s="77">
        <f>'R&amp;D'!E63</f>
        <v>3623.9829532497188</v>
      </c>
      <c r="E9" s="77">
        <f>'R&amp;D'!F63</f>
        <v>3628.3473981088641</v>
      </c>
      <c r="F9" s="77">
        <f>'R&amp;D'!G63</f>
        <v>3588.129382203294</v>
      </c>
      <c r="G9" s="77">
        <f>'R&amp;D'!H63</f>
        <v>3606.3926987067207</v>
      </c>
      <c r="H9" s="77">
        <f>'R&amp;D'!I63</f>
        <v>3615.9093210345959</v>
      </c>
    </row>
    <row r="10" spans="1:8">
      <c r="A10" s="18" t="s">
        <v>84</v>
      </c>
      <c r="B10" s="96">
        <f>'R&amp;D'!C71</f>
        <v>61.612000000000002</v>
      </c>
      <c r="C10" s="96">
        <f>'R&amp;D'!D71</f>
        <v>60.69</v>
      </c>
      <c r="D10" s="96">
        <f>'R&amp;D'!E71</f>
        <v>60.469000000000008</v>
      </c>
      <c r="E10" s="96">
        <f>'R&amp;D'!F71</f>
        <v>60.472000000000001</v>
      </c>
      <c r="F10" s="96">
        <f>'R&amp;D'!G71</f>
        <v>60.472000000000001</v>
      </c>
      <c r="G10" s="96">
        <f>'R&amp;D'!H71</f>
        <v>60.472000000000001</v>
      </c>
      <c r="H10" s="96">
        <f>'R&amp;D'!I71</f>
        <v>60.472000000000001</v>
      </c>
    </row>
    <row r="11" spans="1:8">
      <c r="A11" s="18" t="s">
        <v>195</v>
      </c>
      <c r="B11" s="96">
        <f>'R&amp;D'!C103</f>
        <v>70.566999999999993</v>
      </c>
      <c r="C11" s="96">
        <f>'R&amp;D'!D103</f>
        <v>70.936999999999998</v>
      </c>
      <c r="D11" s="96">
        <f>'R&amp;D'!E103</f>
        <v>69.131</v>
      </c>
      <c r="E11" s="96">
        <f>'R&amp;D'!F103</f>
        <v>56.354999999999997</v>
      </c>
      <c r="F11" s="96">
        <f>'R&amp;D'!G103</f>
        <v>56.202999999999989</v>
      </c>
      <c r="G11" s="96">
        <f>'R&amp;D'!H103</f>
        <v>57.011999999999986</v>
      </c>
      <c r="H11" s="96">
        <f>'R&amp;D'!I103</f>
        <v>51.852999999999994</v>
      </c>
    </row>
    <row r="12" spans="1:8">
      <c r="A12" s="18" t="s">
        <v>196</v>
      </c>
      <c r="B12" s="96">
        <f>'R&amp;D'!C177</f>
        <v>835.66549999999995</v>
      </c>
      <c r="C12" s="96">
        <f>'R&amp;D'!D177</f>
        <v>906.38279999999986</v>
      </c>
      <c r="D12" s="96">
        <f>'R&amp;D'!E177</f>
        <v>829.72180000000014</v>
      </c>
      <c r="E12" s="96">
        <f>'R&amp;D'!F177</f>
        <v>838.92630000000008</v>
      </c>
      <c r="F12" s="96">
        <f>'R&amp;D'!G177</f>
        <v>819.66970000000003</v>
      </c>
      <c r="G12" s="96">
        <f>'R&amp;D'!H177</f>
        <v>831.95005000000015</v>
      </c>
      <c r="H12" s="96">
        <f>'R&amp;D'!I177</f>
        <v>827.48485000000028</v>
      </c>
    </row>
    <row r="13" spans="1:8">
      <c r="A13" s="18" t="s">
        <v>197</v>
      </c>
      <c r="B13" s="96">
        <f>'R&amp;D'!C184</f>
        <v>5.61</v>
      </c>
      <c r="C13" s="96">
        <f>'R&amp;D'!D184</f>
        <v>8.923</v>
      </c>
      <c r="D13" s="96">
        <f>'R&amp;D'!E184</f>
        <v>9.4779999999999998</v>
      </c>
      <c r="E13" s="96">
        <f>'R&amp;D'!F184</f>
        <v>8.3529999999999998</v>
      </c>
      <c r="F13" s="96">
        <f>'R&amp;D'!G184</f>
        <v>8.3529999999999998</v>
      </c>
      <c r="G13" s="96">
        <f>'R&amp;D'!H184</f>
        <v>8.1929999999999996</v>
      </c>
      <c r="H13" s="96">
        <f>'R&amp;D'!I184</f>
        <v>8.1929999999999996</v>
      </c>
    </row>
    <row r="14" spans="1:8">
      <c r="A14" s="18" t="s">
        <v>198</v>
      </c>
      <c r="B14" s="96">
        <f>'R&amp;D'!C207</f>
        <v>238.42500000000001</v>
      </c>
      <c r="C14" s="96">
        <f>'R&amp;D'!D207</f>
        <v>231.87100000000004</v>
      </c>
      <c r="D14" s="96">
        <f>'R&amp;D'!E207</f>
        <v>224.93899999999999</v>
      </c>
      <c r="E14" s="96">
        <f>'R&amp;D'!F207</f>
        <v>214.26</v>
      </c>
      <c r="F14" s="96">
        <f>'R&amp;D'!G207</f>
        <v>218.167</v>
      </c>
      <c r="G14" s="96">
        <f>'R&amp;D'!H207</f>
        <v>210.75800000000001</v>
      </c>
      <c r="H14" s="96">
        <f>'R&amp;D'!I207</f>
        <v>200.16100000000003</v>
      </c>
    </row>
    <row r="15" spans="1:8" s="95" customFormat="1">
      <c r="A15" s="95" t="s">
        <v>305</v>
      </c>
      <c r="B15" s="97">
        <f>SUM(B5:B14)</f>
        <v>4880.716054923676</v>
      </c>
      <c r="C15" s="97">
        <f t="shared" ref="C15:H15" si="0">SUM(C5:C14)</f>
        <v>5022.0759846232077</v>
      </c>
      <c r="D15" s="97">
        <f t="shared" si="0"/>
        <v>4887.2667532497189</v>
      </c>
      <c r="E15" s="97">
        <f t="shared" si="0"/>
        <v>4874.9466981088653</v>
      </c>
      <c r="F15" s="97">
        <f t="shared" si="0"/>
        <v>4819.3830822032951</v>
      </c>
      <c r="G15" s="97">
        <f t="shared" si="0"/>
        <v>4843.4907487067212</v>
      </c>
      <c r="H15" s="97">
        <f t="shared" si="0"/>
        <v>4834.1891710345963</v>
      </c>
    </row>
    <row r="17" spans="1:8">
      <c r="A17" s="95" t="s">
        <v>365</v>
      </c>
    </row>
    <row r="18" spans="1:8" s="95" customFormat="1">
      <c r="B18" s="95">
        <f>B4</f>
        <v>2015</v>
      </c>
      <c r="C18" s="95">
        <f t="shared" ref="C18:H18" si="1">C4</f>
        <v>2016</v>
      </c>
      <c r="D18" s="95">
        <f t="shared" si="1"/>
        <v>2017</v>
      </c>
      <c r="E18" s="95">
        <f t="shared" si="1"/>
        <v>2018</v>
      </c>
      <c r="F18" s="95">
        <f t="shared" si="1"/>
        <v>2019</v>
      </c>
      <c r="G18" s="95">
        <f t="shared" si="1"/>
        <v>2020</v>
      </c>
      <c r="H18" s="95">
        <f t="shared" si="1"/>
        <v>2021</v>
      </c>
    </row>
    <row r="19" spans="1:8">
      <c r="A19" s="119" t="s">
        <v>190</v>
      </c>
      <c r="B19" s="98">
        <f>'R&amp;D'!P8</f>
        <v>0</v>
      </c>
      <c r="C19" s="98">
        <f>'R&amp;D'!Q8</f>
        <v>0</v>
      </c>
      <c r="D19" s="98">
        <f>'R&amp;D'!R8</f>
        <v>0</v>
      </c>
      <c r="E19" s="98">
        <f>'R&amp;D'!S8</f>
        <v>0</v>
      </c>
      <c r="F19" s="98">
        <f>'R&amp;D'!T8</f>
        <v>0</v>
      </c>
      <c r="G19" s="98">
        <f>'R&amp;D'!U8</f>
        <v>0</v>
      </c>
      <c r="H19" s="98">
        <f>'R&amp;D'!V8</f>
        <v>0</v>
      </c>
    </row>
    <row r="20" spans="1:8" s="4" customFormat="1">
      <c r="A20" s="4" t="s">
        <v>191</v>
      </c>
      <c r="B20" s="78">
        <f>'R&amp;D'!P17</f>
        <v>0</v>
      </c>
      <c r="C20" s="78">
        <f>'R&amp;D'!Q17</f>
        <v>0</v>
      </c>
      <c r="D20" s="78">
        <f>'R&amp;D'!R17</f>
        <v>0</v>
      </c>
      <c r="E20" s="78">
        <f>'R&amp;D'!S17</f>
        <v>0</v>
      </c>
      <c r="F20" s="78">
        <f>'R&amp;D'!T17</f>
        <v>0</v>
      </c>
      <c r="G20" s="78">
        <f>'R&amp;D'!U17</f>
        <v>0</v>
      </c>
      <c r="H20" s="78">
        <f>'R&amp;D'!V17</f>
        <v>0</v>
      </c>
    </row>
    <row r="21" spans="1:8">
      <c r="A21" s="119" t="s">
        <v>192</v>
      </c>
      <c r="B21" s="98">
        <f>'R&amp;D'!P24</f>
        <v>6.8942999999999994</v>
      </c>
      <c r="C21" s="98">
        <f>'R&amp;D'!Q24</f>
        <v>6.5954800000000002</v>
      </c>
      <c r="D21" s="98">
        <f>'R&amp;D'!R24</f>
        <v>6.3556200000000009</v>
      </c>
      <c r="E21" s="98">
        <f>'R&amp;D'!S24</f>
        <v>6.2564599999999997</v>
      </c>
      <c r="F21" s="98">
        <f>'R&amp;D'!T24</f>
        <v>6.2792400000000006</v>
      </c>
      <c r="G21" s="98">
        <f>'R&amp;D'!U24</f>
        <v>6.2859400000000001</v>
      </c>
      <c r="H21" s="98">
        <f>'R&amp;D'!V24</f>
        <v>6.2859400000000001</v>
      </c>
    </row>
    <row r="22" spans="1:8">
      <c r="A22" s="119" t="s">
        <v>193</v>
      </c>
      <c r="B22" s="98">
        <f>'R&amp;D'!P216</f>
        <v>1.2233000000000001</v>
      </c>
      <c r="C22" s="98">
        <f>'R&amp;D'!Q216</f>
        <v>1.2789000000000001</v>
      </c>
      <c r="D22" s="98">
        <f>'R&amp;D'!R216</f>
        <v>1.0373999999999999</v>
      </c>
      <c r="E22" s="98">
        <f>'R&amp;D'!S216</f>
        <v>0.89100000000000001</v>
      </c>
      <c r="F22" s="98">
        <f>'R&amp;D'!T216</f>
        <v>0.89459999999999995</v>
      </c>
      <c r="G22" s="98">
        <f>'R&amp;D'!U216</f>
        <v>0.92600000000000016</v>
      </c>
      <c r="H22" s="98">
        <f>'R&amp;D'!V216</f>
        <v>1.0659999999999998</v>
      </c>
    </row>
    <row r="23" spans="1:8" s="4" customFormat="1">
      <c r="A23" s="4" t="s">
        <v>194</v>
      </c>
      <c r="B23" s="78">
        <f>'R&amp;D'!P63</f>
        <v>294</v>
      </c>
      <c r="C23" s="78">
        <f>'R&amp;D'!Q63</f>
        <v>289</v>
      </c>
      <c r="D23" s="78">
        <f>'R&amp;D'!R63</f>
        <v>289</v>
      </c>
      <c r="E23" s="78">
        <f>'R&amp;D'!S63</f>
        <v>289</v>
      </c>
      <c r="F23" s="78">
        <f>'R&amp;D'!T63</f>
        <v>289</v>
      </c>
      <c r="G23" s="78">
        <f>'R&amp;D'!U63</f>
        <v>289</v>
      </c>
      <c r="H23" s="78">
        <f>'R&amp;D'!V63</f>
        <v>289</v>
      </c>
    </row>
    <row r="24" spans="1:8">
      <c r="A24" s="119" t="s">
        <v>84</v>
      </c>
      <c r="B24" s="98">
        <f>'R&amp;D'!P71</f>
        <v>61.612000000000002</v>
      </c>
      <c r="C24" s="98">
        <f>'R&amp;D'!Q71</f>
        <v>60.69</v>
      </c>
      <c r="D24" s="98">
        <f>'R&amp;D'!R71</f>
        <v>60.469000000000008</v>
      </c>
      <c r="E24" s="98">
        <f>'R&amp;D'!S71</f>
        <v>60.472000000000001</v>
      </c>
      <c r="F24" s="98">
        <f>'R&amp;D'!T71</f>
        <v>60.472000000000001</v>
      </c>
      <c r="G24" s="98">
        <f>'R&amp;D'!U71</f>
        <v>60.472000000000001</v>
      </c>
      <c r="H24" s="98">
        <f>'R&amp;D'!V71</f>
        <v>60.472000000000001</v>
      </c>
    </row>
    <row r="25" spans="1:8">
      <c r="A25" s="119" t="s">
        <v>195</v>
      </c>
      <c r="B25" s="98">
        <f>'R&amp;D'!P103</f>
        <v>6.6449999999999996</v>
      </c>
      <c r="C25" s="98">
        <f>'R&amp;D'!Q103</f>
        <v>6.1349999999999998</v>
      </c>
      <c r="D25" s="98">
        <f>'R&amp;D'!R103</f>
        <v>6.42</v>
      </c>
      <c r="E25" s="98">
        <f>'R&amp;D'!S103</f>
        <v>6.62</v>
      </c>
      <c r="F25" s="98">
        <f>'R&amp;D'!T103</f>
        <v>6.62</v>
      </c>
      <c r="G25" s="98">
        <f>'R&amp;D'!U103</f>
        <v>6.62</v>
      </c>
      <c r="H25" s="98">
        <f>'R&amp;D'!V103</f>
        <v>6.62</v>
      </c>
    </row>
    <row r="26" spans="1:8">
      <c r="A26" s="119" t="s">
        <v>196</v>
      </c>
      <c r="B26" s="98">
        <f>'R&amp;D'!P177</f>
        <v>701.73235238095231</v>
      </c>
      <c r="C26" s="98">
        <f>'R&amp;D'!Q177</f>
        <v>775.27509999999984</v>
      </c>
      <c r="D26" s="98">
        <f>'R&amp;D'!R177</f>
        <v>708.89578333333327</v>
      </c>
      <c r="E26" s="98">
        <f>'R&amp;D'!S177</f>
        <v>715.19363333333331</v>
      </c>
      <c r="F26" s="98">
        <f>'R&amp;D'!T177</f>
        <v>698.37603333333323</v>
      </c>
      <c r="G26" s="98">
        <f>'R&amp;D'!U177</f>
        <v>707.47704999999996</v>
      </c>
      <c r="H26" s="98">
        <f>'R&amp;D'!V177</f>
        <v>703.22434999999984</v>
      </c>
    </row>
    <row r="27" spans="1:8">
      <c r="A27" s="119" t="s">
        <v>197</v>
      </c>
      <c r="B27" s="98">
        <f>'R&amp;D'!P184</f>
        <v>0</v>
      </c>
      <c r="C27" s="98">
        <f>'R&amp;D'!Q184</f>
        <v>0</v>
      </c>
      <c r="D27" s="98">
        <f>'R&amp;D'!R184</f>
        <v>0</v>
      </c>
      <c r="E27" s="98">
        <f>'R&amp;D'!S184</f>
        <v>0</v>
      </c>
      <c r="F27" s="98">
        <f>'R&amp;D'!T184</f>
        <v>0</v>
      </c>
      <c r="G27" s="98">
        <f>'R&amp;D'!U184</f>
        <v>0</v>
      </c>
      <c r="H27" s="98">
        <f>'R&amp;D'!V184</f>
        <v>0</v>
      </c>
    </row>
    <row r="28" spans="1:8">
      <c r="A28" s="119" t="s">
        <v>198</v>
      </c>
      <c r="B28" s="98">
        <f>'R&amp;D'!P207</f>
        <v>49.77</v>
      </c>
      <c r="C28" s="98">
        <f>'R&amp;D'!Q207</f>
        <v>50.400999999999996</v>
      </c>
      <c r="D28" s="98">
        <f>'R&amp;D'!R207</f>
        <v>39.196999999999996</v>
      </c>
      <c r="E28" s="98">
        <f>'R&amp;D'!S207</f>
        <v>37.061999999999998</v>
      </c>
      <c r="F28" s="98">
        <f>'R&amp;D'!T207</f>
        <v>36.461999999999996</v>
      </c>
      <c r="G28" s="98">
        <f>'R&amp;D'!U207</f>
        <v>36.611999999999995</v>
      </c>
      <c r="H28" s="98">
        <f>'R&amp;D'!V207</f>
        <v>36.961999999999996</v>
      </c>
    </row>
    <row r="29" spans="1:8" s="95" customFormat="1">
      <c r="A29" s="95" t="s">
        <v>188</v>
      </c>
      <c r="B29" s="97">
        <f t="shared" ref="B29:H29" si="2">SUM(B19:B28)</f>
        <v>1121.8769523809524</v>
      </c>
      <c r="C29" s="97">
        <f t="shared" si="2"/>
        <v>1189.3754799999999</v>
      </c>
      <c r="D29" s="97">
        <f t="shared" si="2"/>
        <v>1111.3748033333331</v>
      </c>
      <c r="E29" s="97">
        <f t="shared" si="2"/>
        <v>1115.4950933333332</v>
      </c>
      <c r="F29" s="97">
        <f t="shared" si="2"/>
        <v>1098.1038733333332</v>
      </c>
      <c r="G29" s="97">
        <f t="shared" si="2"/>
        <v>1107.3929900000001</v>
      </c>
      <c r="H29" s="97">
        <f t="shared" si="2"/>
        <v>1103.6302899999998</v>
      </c>
    </row>
    <row r="31" spans="1:8">
      <c r="A31" s="95" t="s">
        <v>307</v>
      </c>
    </row>
    <row r="32" spans="1:8">
      <c r="B32" s="95">
        <f>B4</f>
        <v>2015</v>
      </c>
      <c r="C32" s="95">
        <f t="shared" ref="C32:H32" si="3">C4</f>
        <v>2016</v>
      </c>
      <c r="D32" s="95">
        <f t="shared" si="3"/>
        <v>2017</v>
      </c>
      <c r="E32" s="95">
        <f t="shared" si="3"/>
        <v>2018</v>
      </c>
      <c r="F32" s="95">
        <f t="shared" si="3"/>
        <v>2019</v>
      </c>
      <c r="G32" s="95">
        <f t="shared" si="3"/>
        <v>2020</v>
      </c>
      <c r="H32" s="95">
        <f t="shared" si="3"/>
        <v>2021</v>
      </c>
    </row>
    <row r="33" spans="1:8">
      <c r="A33" s="18" t="s">
        <v>190</v>
      </c>
      <c r="B33" s="100"/>
      <c r="C33" s="100"/>
      <c r="D33" s="100"/>
      <c r="E33" s="100"/>
      <c r="F33" s="100"/>
      <c r="G33" s="100"/>
      <c r="H33" s="100"/>
    </row>
    <row r="34" spans="1:8">
      <c r="A34" s="18" t="s">
        <v>191</v>
      </c>
      <c r="B34" s="100"/>
      <c r="C34" s="100"/>
      <c r="D34" s="100"/>
      <c r="E34" s="100"/>
      <c r="F34" s="100"/>
      <c r="G34" s="100"/>
      <c r="H34" s="100"/>
    </row>
    <row r="35" spans="1:8">
      <c r="A35" s="18" t="s">
        <v>192</v>
      </c>
      <c r="B35" s="100"/>
      <c r="C35" s="100"/>
      <c r="D35" s="100"/>
      <c r="E35" s="100"/>
      <c r="F35" s="100"/>
      <c r="G35" s="100"/>
      <c r="H35" s="100"/>
    </row>
    <row r="36" spans="1:8">
      <c r="A36" s="18" t="s">
        <v>193</v>
      </c>
      <c r="B36" s="100"/>
      <c r="C36" s="100"/>
      <c r="D36" s="100"/>
      <c r="E36" s="100"/>
      <c r="F36" s="100"/>
      <c r="G36" s="100"/>
      <c r="H36" s="100"/>
    </row>
    <row r="37" spans="1:8">
      <c r="A37" s="18" t="s">
        <v>194</v>
      </c>
      <c r="B37" s="100">
        <f>Innovatie!C32</f>
        <v>51.408999999999992</v>
      </c>
      <c r="C37" s="100">
        <f>Innovatie!D32</f>
        <v>60.720999999999989</v>
      </c>
      <c r="D37" s="100">
        <f>Innovatie!E32</f>
        <v>68.472999999999985</v>
      </c>
      <c r="E37" s="100">
        <f>Innovatie!F32</f>
        <v>86.751999999999995</v>
      </c>
      <c r="F37" s="100">
        <f>Innovatie!G32</f>
        <v>76.239999999999981</v>
      </c>
      <c r="G37" s="100">
        <f>Innovatie!H32</f>
        <v>67.674999999999997</v>
      </c>
      <c r="H37" s="100">
        <f>Innovatie!I32</f>
        <v>65.09999999999998</v>
      </c>
    </row>
    <row r="38" spans="1:8">
      <c r="A38" s="18" t="s">
        <v>84</v>
      </c>
      <c r="B38" s="98"/>
      <c r="C38" s="98"/>
      <c r="D38" s="98"/>
      <c r="E38" s="98"/>
      <c r="F38" s="98"/>
      <c r="G38" s="98"/>
      <c r="H38" s="98"/>
    </row>
    <row r="39" spans="1:8">
      <c r="A39" s="18" t="s">
        <v>195</v>
      </c>
      <c r="B39" s="98">
        <f>Innovatie!C44</f>
        <v>37.777999999999999</v>
      </c>
      <c r="C39" s="98">
        <f>Innovatie!D44</f>
        <v>29.655000000000001</v>
      </c>
      <c r="D39" s="98">
        <f>Innovatie!E44</f>
        <v>35.720999999999997</v>
      </c>
      <c r="E39" s="98">
        <f>Innovatie!F44</f>
        <v>15.936</v>
      </c>
      <c r="F39" s="98">
        <f>Innovatie!G44</f>
        <v>16.369</v>
      </c>
      <c r="G39" s="98">
        <f>Innovatie!H44</f>
        <v>13.372</v>
      </c>
      <c r="H39" s="98">
        <f>Innovatie!I44</f>
        <v>6.7229999999999999</v>
      </c>
    </row>
    <row r="40" spans="1:8">
      <c r="A40" s="18" t="s">
        <v>196</v>
      </c>
      <c r="B40" s="98">
        <f>Innovatie!C72</f>
        <v>147.10548</v>
      </c>
      <c r="C40" s="98">
        <f>Innovatie!D72</f>
        <v>225.87079999999997</v>
      </c>
      <c r="D40" s="98">
        <f>Innovatie!E72</f>
        <v>171.35095000000004</v>
      </c>
      <c r="E40" s="98">
        <f>Innovatie!F72</f>
        <v>167.93932999999998</v>
      </c>
      <c r="F40" s="98">
        <f>Innovatie!G72</f>
        <v>170.29562999999999</v>
      </c>
      <c r="G40" s="98">
        <f>Innovatie!H72</f>
        <v>175.28813</v>
      </c>
      <c r="H40" s="98">
        <f>Innovatie!I72</f>
        <v>153.52132999999998</v>
      </c>
    </row>
    <row r="41" spans="1:8">
      <c r="A41" s="18" t="s">
        <v>197</v>
      </c>
      <c r="B41" s="100">
        <f>Innovatie!C77</f>
        <v>3.0020000000000002</v>
      </c>
      <c r="C41" s="100">
        <f>Innovatie!D77</f>
        <v>4.0440000000000005</v>
      </c>
      <c r="D41" s="100">
        <f>Innovatie!E77</f>
        <v>4.4450000000000003</v>
      </c>
      <c r="E41" s="100">
        <f>Innovatie!F77</f>
        <v>3.8689999999999998</v>
      </c>
      <c r="F41" s="100">
        <f>Innovatie!G77</f>
        <v>3.919</v>
      </c>
      <c r="G41" s="100">
        <f>Innovatie!H77</f>
        <v>4.1360000000000001</v>
      </c>
      <c r="H41" s="100">
        <f>Innovatie!I77</f>
        <v>3.7090000000000001</v>
      </c>
    </row>
    <row r="42" spans="1:8">
      <c r="A42" s="18" t="s">
        <v>198</v>
      </c>
      <c r="B42" s="98">
        <f>Innovatie!C85</f>
        <v>2.6419999999999999</v>
      </c>
      <c r="C42" s="98">
        <f>Innovatie!D85</f>
        <v>3.7149999999999999</v>
      </c>
      <c r="D42" s="98">
        <f>Innovatie!E85</f>
        <v>1.7149999999999999</v>
      </c>
      <c r="E42" s="98">
        <f>Innovatie!F85</f>
        <v>1.7149999999999999</v>
      </c>
      <c r="F42" s="98">
        <f>Innovatie!G85</f>
        <v>1.25</v>
      </c>
      <c r="G42" s="98">
        <f>Innovatie!H85</f>
        <v>1.25</v>
      </c>
      <c r="H42" s="98">
        <f>Innovatie!I85</f>
        <v>1.25</v>
      </c>
    </row>
    <row r="43" spans="1:8" s="95" customFormat="1">
      <c r="A43" s="95" t="s">
        <v>188</v>
      </c>
      <c r="B43" s="99">
        <f t="shared" ref="B43:H43" si="4">SUM(B33:B42)</f>
        <v>241.93647999999999</v>
      </c>
      <c r="C43" s="99">
        <f t="shared" si="4"/>
        <v>324.00579999999991</v>
      </c>
      <c r="D43" s="99">
        <f t="shared" si="4"/>
        <v>281.70495</v>
      </c>
      <c r="E43" s="99">
        <f t="shared" si="4"/>
        <v>276.21132999999992</v>
      </c>
      <c r="F43" s="99">
        <f t="shared" si="4"/>
        <v>268.07362999999998</v>
      </c>
      <c r="G43" s="99">
        <f t="shared" si="4"/>
        <v>261.72113000000002</v>
      </c>
      <c r="H43" s="99">
        <f t="shared" si="4"/>
        <v>230.30332999999996</v>
      </c>
    </row>
    <row r="45" spans="1:8">
      <c r="A45" s="95" t="s">
        <v>308</v>
      </c>
    </row>
    <row r="46" spans="1:8">
      <c r="B46" s="95">
        <f>B4</f>
        <v>2015</v>
      </c>
      <c r="C46" s="95">
        <f t="shared" ref="C46:H46" si="5">C4</f>
        <v>2016</v>
      </c>
      <c r="D46" s="95">
        <f t="shared" si="5"/>
        <v>2017</v>
      </c>
      <c r="E46" s="95">
        <f t="shared" si="5"/>
        <v>2018</v>
      </c>
      <c r="F46" s="95">
        <f t="shared" si="5"/>
        <v>2019</v>
      </c>
      <c r="G46" s="95">
        <f t="shared" si="5"/>
        <v>2020</v>
      </c>
      <c r="H46" s="95">
        <f t="shared" si="5"/>
        <v>2021</v>
      </c>
    </row>
    <row r="47" spans="1:8">
      <c r="A47" s="18" t="s">
        <v>190</v>
      </c>
      <c r="B47" s="96">
        <f>+B5+B33</f>
        <v>0.58299999999999996</v>
      </c>
      <c r="C47" s="96">
        <f t="shared" ref="C47:E47" si="6">+C5+C33</f>
        <v>0.59399999999999997</v>
      </c>
      <c r="D47" s="96">
        <f t="shared" si="6"/>
        <v>0.59399999999999997</v>
      </c>
      <c r="E47" s="96">
        <f t="shared" si="6"/>
        <v>0.59399999999999997</v>
      </c>
      <c r="F47" s="96">
        <f t="shared" ref="F47:H47" si="7">+F5+F33</f>
        <v>0.59399999999999997</v>
      </c>
      <c r="G47" s="96">
        <f t="shared" si="7"/>
        <v>0.59399999999999997</v>
      </c>
      <c r="H47" s="96">
        <f t="shared" si="7"/>
        <v>0.59399999999999997</v>
      </c>
    </row>
    <row r="48" spans="1:8" s="4" customFormat="1">
      <c r="A48" s="4" t="s">
        <v>191</v>
      </c>
      <c r="B48" s="77">
        <f t="shared" ref="B48:H56" si="8">+B6+B34</f>
        <v>34.914000000000001</v>
      </c>
      <c r="C48" s="77">
        <f t="shared" ref="C48:E48" si="9">+C6+C34</f>
        <v>39.9</v>
      </c>
      <c r="D48" s="77">
        <f t="shared" si="9"/>
        <v>37.466000000000001</v>
      </c>
      <c r="E48" s="77">
        <f t="shared" si="9"/>
        <v>37.757000000000005</v>
      </c>
      <c r="F48" s="77">
        <f t="shared" si="8"/>
        <v>37.841999999999999</v>
      </c>
      <c r="G48" s="77">
        <f t="shared" si="8"/>
        <v>37.841999999999999</v>
      </c>
      <c r="H48" s="77">
        <f t="shared" si="8"/>
        <v>37.841999999999999</v>
      </c>
    </row>
    <row r="49" spans="1:8">
      <c r="A49" s="18" t="s">
        <v>192</v>
      </c>
      <c r="B49" s="96">
        <f t="shared" si="8"/>
        <v>22.096</v>
      </c>
      <c r="C49" s="96">
        <f t="shared" ref="C49:E49" si="10">+C7+C35</f>
        <v>21.521000000000001</v>
      </c>
      <c r="D49" s="96">
        <f t="shared" si="10"/>
        <v>21.111000000000001</v>
      </c>
      <c r="E49" s="96">
        <f t="shared" si="10"/>
        <v>20.972000000000001</v>
      </c>
      <c r="F49" s="96">
        <f t="shared" si="8"/>
        <v>21.007000000000001</v>
      </c>
      <c r="G49" s="96">
        <f t="shared" si="8"/>
        <v>21.017000000000003</v>
      </c>
      <c r="H49" s="96">
        <f t="shared" si="8"/>
        <v>21.02</v>
      </c>
    </row>
    <row r="50" spans="1:8">
      <c r="A50" s="18" t="s">
        <v>193</v>
      </c>
      <c r="B50" s="96">
        <f t="shared" si="8"/>
        <v>12.233000000000001</v>
      </c>
      <c r="C50" s="96">
        <f t="shared" ref="C50:E50" si="11">+C8+C36</f>
        <v>12.789</v>
      </c>
      <c r="D50" s="96">
        <f t="shared" si="11"/>
        <v>10.373999999999999</v>
      </c>
      <c r="E50" s="96">
        <f t="shared" si="11"/>
        <v>8.91</v>
      </c>
      <c r="F50" s="96">
        <f t="shared" si="8"/>
        <v>8.9459999999999997</v>
      </c>
      <c r="G50" s="96">
        <f t="shared" si="8"/>
        <v>9.26</v>
      </c>
      <c r="H50" s="96">
        <f t="shared" si="8"/>
        <v>10.66</v>
      </c>
    </row>
    <row r="51" spans="1:8" s="4" customFormat="1">
      <c r="A51" s="4" t="s">
        <v>194</v>
      </c>
      <c r="B51" s="77">
        <f t="shared" si="8"/>
        <v>3650.4195549236765</v>
      </c>
      <c r="C51" s="77">
        <f t="shared" ref="C51:E51" si="12">+C9+C37</f>
        <v>3729.1891846232079</v>
      </c>
      <c r="D51" s="77">
        <f t="shared" si="12"/>
        <v>3692.4559532497187</v>
      </c>
      <c r="E51" s="77">
        <f t="shared" si="12"/>
        <v>3715.0993981088641</v>
      </c>
      <c r="F51" s="77">
        <f t="shared" si="8"/>
        <v>3664.3693822032938</v>
      </c>
      <c r="G51" s="77">
        <f t="shared" si="8"/>
        <v>3674.0676987067209</v>
      </c>
      <c r="H51" s="77">
        <f t="shared" si="8"/>
        <v>3681.0093210345958</v>
      </c>
    </row>
    <row r="52" spans="1:8">
      <c r="A52" s="18" t="s">
        <v>84</v>
      </c>
      <c r="B52" s="96">
        <f t="shared" si="8"/>
        <v>61.612000000000002</v>
      </c>
      <c r="C52" s="96">
        <f t="shared" ref="C52:E52" si="13">+C10+C38</f>
        <v>60.69</v>
      </c>
      <c r="D52" s="96">
        <f t="shared" si="13"/>
        <v>60.469000000000008</v>
      </c>
      <c r="E52" s="96">
        <f t="shared" si="13"/>
        <v>60.472000000000001</v>
      </c>
      <c r="F52" s="96">
        <f t="shared" si="8"/>
        <v>60.472000000000001</v>
      </c>
      <c r="G52" s="96">
        <f t="shared" si="8"/>
        <v>60.472000000000001</v>
      </c>
      <c r="H52" s="96">
        <f t="shared" si="8"/>
        <v>60.472000000000001</v>
      </c>
    </row>
    <row r="53" spans="1:8">
      <c r="A53" s="18" t="s">
        <v>195</v>
      </c>
      <c r="B53" s="96">
        <f t="shared" si="8"/>
        <v>108.345</v>
      </c>
      <c r="C53" s="96">
        <f t="shared" ref="C53:E53" si="14">+C11+C39</f>
        <v>100.592</v>
      </c>
      <c r="D53" s="96">
        <f t="shared" si="14"/>
        <v>104.852</v>
      </c>
      <c r="E53" s="96">
        <f t="shared" si="14"/>
        <v>72.290999999999997</v>
      </c>
      <c r="F53" s="96">
        <f t="shared" si="8"/>
        <v>72.571999999999989</v>
      </c>
      <c r="G53" s="96">
        <f t="shared" si="8"/>
        <v>70.383999999999986</v>
      </c>
      <c r="H53" s="96">
        <f t="shared" si="8"/>
        <v>58.575999999999993</v>
      </c>
    </row>
    <row r="54" spans="1:8">
      <c r="A54" s="18" t="s">
        <v>196</v>
      </c>
      <c r="B54" s="96">
        <f t="shared" si="8"/>
        <v>982.77098000000001</v>
      </c>
      <c r="C54" s="96">
        <f t="shared" ref="C54:E54" si="15">+C12+C40</f>
        <v>1132.2535999999998</v>
      </c>
      <c r="D54" s="96">
        <f t="shared" si="15"/>
        <v>1001.0727500000002</v>
      </c>
      <c r="E54" s="96">
        <f t="shared" si="15"/>
        <v>1006.86563</v>
      </c>
      <c r="F54" s="96">
        <f t="shared" si="8"/>
        <v>989.96532999999999</v>
      </c>
      <c r="G54" s="96">
        <f t="shared" si="8"/>
        <v>1007.2381800000002</v>
      </c>
      <c r="H54" s="96">
        <f t="shared" si="8"/>
        <v>981.00618000000031</v>
      </c>
    </row>
    <row r="55" spans="1:8">
      <c r="A55" s="18" t="s">
        <v>197</v>
      </c>
      <c r="B55" s="96">
        <f t="shared" si="8"/>
        <v>8.6120000000000001</v>
      </c>
      <c r="C55" s="96">
        <f t="shared" ref="C55:E55" si="16">+C13+C41</f>
        <v>12.967000000000001</v>
      </c>
      <c r="D55" s="96">
        <f t="shared" si="16"/>
        <v>13.923</v>
      </c>
      <c r="E55" s="96">
        <f t="shared" si="16"/>
        <v>12.222</v>
      </c>
      <c r="F55" s="96">
        <f t="shared" si="8"/>
        <v>12.272</v>
      </c>
      <c r="G55" s="96">
        <f t="shared" si="8"/>
        <v>12.329000000000001</v>
      </c>
      <c r="H55" s="96">
        <f t="shared" si="8"/>
        <v>11.901999999999999</v>
      </c>
    </row>
    <row r="56" spans="1:8">
      <c r="A56" s="18" t="s">
        <v>198</v>
      </c>
      <c r="B56" s="96">
        <f t="shared" si="8"/>
        <v>241.06700000000001</v>
      </c>
      <c r="C56" s="96">
        <f t="shared" ref="C56:E56" si="17">+C14+C42</f>
        <v>235.58600000000004</v>
      </c>
      <c r="D56" s="96">
        <f t="shared" si="17"/>
        <v>226.654</v>
      </c>
      <c r="E56" s="96">
        <f t="shared" si="17"/>
        <v>215.97499999999999</v>
      </c>
      <c r="F56" s="96">
        <f t="shared" si="8"/>
        <v>219.417</v>
      </c>
      <c r="G56" s="96">
        <f t="shared" si="8"/>
        <v>212.00800000000001</v>
      </c>
      <c r="H56" s="96">
        <f t="shared" si="8"/>
        <v>201.41100000000003</v>
      </c>
    </row>
    <row r="57" spans="1:8" s="95" customFormat="1">
      <c r="A57" s="95" t="s">
        <v>188</v>
      </c>
      <c r="B57" s="97">
        <f>SUM(B47:B56)</f>
        <v>5122.6525349236763</v>
      </c>
      <c r="C57" s="97">
        <f t="shared" ref="C57:H57" si="18">SUM(C47:C56)</f>
        <v>5346.0817846232076</v>
      </c>
      <c r="D57" s="97">
        <f t="shared" si="18"/>
        <v>5168.9717032497192</v>
      </c>
      <c r="E57" s="97">
        <f t="shared" si="18"/>
        <v>5151.1580281088645</v>
      </c>
      <c r="F57" s="97">
        <f t="shared" si="18"/>
        <v>5087.456712203295</v>
      </c>
      <c r="G57" s="97">
        <f t="shared" si="18"/>
        <v>5105.2118787067211</v>
      </c>
      <c r="H57" s="97">
        <f t="shared" si="18"/>
        <v>5064.492501034596</v>
      </c>
    </row>
  </sheetData>
  <pageMargins left="0.70866141732283472" right="0.70866141732283472" top="0.74803149606299213" bottom="0.74803149606299213" header="0.31496062992125984" footer="0.31496062992125984"/>
  <pageSetup paperSize="9" scale="88" orientation="portrait" horizontalDpi="300" verticalDpi="300" r:id="rId1"/>
  <headerFooter>
    <oddFooter>&amp;L&amp;Z&amp;F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6"/>
  <sheetViews>
    <sheetView zoomScaleNormal="100" workbookViewId="0"/>
  </sheetViews>
  <sheetFormatPr defaultRowHeight="15"/>
  <cols>
    <col min="1" max="1" width="39.7109375" style="45" customWidth="1"/>
    <col min="2" max="8" width="10" style="38" bestFit="1" customWidth="1"/>
    <col min="9" max="9" width="16.42578125" style="38" bestFit="1" customWidth="1"/>
    <col min="10" max="10" width="15.140625" style="38" customWidth="1"/>
    <col min="11" max="16384" width="9.140625" style="38"/>
  </cols>
  <sheetData>
    <row r="1" spans="1:18" ht="18.75">
      <c r="A1" s="91" t="s">
        <v>285</v>
      </c>
    </row>
    <row r="3" spans="1:18" s="39" customFormat="1">
      <c r="A3" s="46" t="s">
        <v>555</v>
      </c>
      <c r="B3" s="42">
        <f>Innovatie!C3</f>
        <v>2015</v>
      </c>
      <c r="C3" s="42">
        <f>Innovatie!D3</f>
        <v>2016</v>
      </c>
      <c r="D3" s="42">
        <f>Innovatie!E3</f>
        <v>2017</v>
      </c>
      <c r="E3" s="42">
        <f>Innovatie!F3</f>
        <v>2018</v>
      </c>
      <c r="F3" s="42">
        <f>Innovatie!G3</f>
        <v>2019</v>
      </c>
      <c r="G3" s="42">
        <f>Innovatie!H3</f>
        <v>2020</v>
      </c>
      <c r="H3" s="42">
        <f>Innovatie!I3</f>
        <v>2021</v>
      </c>
      <c r="I3" s="260" t="s">
        <v>563</v>
      </c>
      <c r="J3" s="42" t="s">
        <v>554</v>
      </c>
    </row>
    <row r="4" spans="1:18" s="39" customFormat="1">
      <c r="A4" s="125" t="s">
        <v>292</v>
      </c>
      <c r="B4" s="126"/>
      <c r="C4" s="126"/>
      <c r="D4" s="126"/>
      <c r="E4" s="126"/>
      <c r="F4" s="126"/>
      <c r="G4" s="126"/>
      <c r="H4" s="126"/>
      <c r="I4" s="127"/>
      <c r="J4" s="127"/>
    </row>
    <row r="5" spans="1:18">
      <c r="A5" s="274" t="s">
        <v>569</v>
      </c>
      <c r="B5" s="254">
        <f>769+238</f>
        <v>1007</v>
      </c>
      <c r="C5" s="254">
        <v>1151</v>
      </c>
      <c r="D5" s="254">
        <v>1213</v>
      </c>
      <c r="E5" s="254">
        <v>1213</v>
      </c>
      <c r="F5" s="254">
        <v>1213</v>
      </c>
      <c r="G5" s="254">
        <v>1213</v>
      </c>
      <c r="H5" s="254">
        <v>1213</v>
      </c>
      <c r="I5" s="38">
        <v>100</v>
      </c>
      <c r="L5" s="196"/>
      <c r="M5" s="196"/>
      <c r="N5" s="196"/>
      <c r="O5" s="196"/>
      <c r="P5" s="196"/>
      <c r="Q5" s="196"/>
      <c r="R5" s="196"/>
    </row>
    <row r="6" spans="1:18">
      <c r="A6" s="48"/>
      <c r="B6" s="197"/>
      <c r="C6" s="197"/>
      <c r="D6" s="197"/>
      <c r="E6" s="197"/>
      <c r="F6" s="197"/>
      <c r="G6" s="197"/>
      <c r="H6" s="197"/>
      <c r="L6" s="196"/>
      <c r="M6" s="196"/>
      <c r="N6" s="196"/>
      <c r="O6" s="196"/>
      <c r="P6" s="196"/>
      <c r="Q6" s="196"/>
      <c r="R6" s="196"/>
    </row>
    <row r="7" spans="1:18" ht="15" customHeight="1">
      <c r="A7" s="125" t="s">
        <v>299</v>
      </c>
      <c r="B7" s="128"/>
      <c r="C7" s="128"/>
      <c r="D7" s="128"/>
      <c r="E7" s="128"/>
      <c r="F7" s="128"/>
      <c r="G7" s="128"/>
      <c r="H7" s="128"/>
      <c r="I7" s="129"/>
      <c r="J7" s="127"/>
    </row>
    <row r="8" spans="1:18" ht="15" customHeight="1">
      <c r="A8" s="48" t="s">
        <v>293</v>
      </c>
      <c r="B8" s="86">
        <v>2.7759999999999998</v>
      </c>
      <c r="C8" s="86">
        <v>2.75</v>
      </c>
      <c r="D8" s="86">
        <v>2.75</v>
      </c>
      <c r="E8" s="86">
        <v>2.75</v>
      </c>
      <c r="F8" s="86">
        <v>2.75</v>
      </c>
      <c r="G8" s="86">
        <v>2.75</v>
      </c>
      <c r="H8" s="86">
        <v>2.75</v>
      </c>
      <c r="I8" s="160">
        <f>0.207641196013289*100</f>
        <v>20.7641196013289</v>
      </c>
    </row>
    <row r="9" spans="1:18" s="39" customFormat="1">
      <c r="A9" s="46" t="s">
        <v>556</v>
      </c>
      <c r="B9" s="85">
        <f>SUM(B5:B8)</f>
        <v>1009.776</v>
      </c>
      <c r="C9" s="85">
        <f t="shared" ref="C9:H9" si="0">SUM(C5:C8)</f>
        <v>1153.75</v>
      </c>
      <c r="D9" s="85">
        <f t="shared" si="0"/>
        <v>1215.75</v>
      </c>
      <c r="E9" s="85">
        <f t="shared" si="0"/>
        <v>1215.75</v>
      </c>
      <c r="F9" s="85">
        <f t="shared" si="0"/>
        <v>1215.75</v>
      </c>
      <c r="G9" s="85">
        <f t="shared" si="0"/>
        <v>1215.75</v>
      </c>
      <c r="H9" s="85">
        <f t="shared" si="0"/>
        <v>1215.75</v>
      </c>
    </row>
    <row r="10" spans="1:18" s="39" customFormat="1">
      <c r="A10" s="46"/>
      <c r="B10" s="85"/>
      <c r="C10" s="85"/>
      <c r="D10" s="85"/>
      <c r="E10" s="85"/>
      <c r="F10" s="85"/>
      <c r="G10" s="85"/>
      <c r="H10" s="85"/>
    </row>
    <row r="12" spans="1:18" s="39" customFormat="1">
      <c r="A12" s="125" t="s">
        <v>568</v>
      </c>
      <c r="B12" s="126"/>
      <c r="C12" s="126"/>
      <c r="D12" s="126"/>
      <c r="E12" s="126"/>
      <c r="F12" s="126"/>
      <c r="G12" s="126"/>
      <c r="H12" s="126"/>
      <c r="I12" s="127"/>
      <c r="J12" s="127"/>
    </row>
    <row r="13" spans="1:18">
      <c r="A13" s="253" t="s">
        <v>574</v>
      </c>
      <c r="B13" s="138">
        <v>1186</v>
      </c>
      <c r="C13" s="138">
        <v>1390</v>
      </c>
      <c r="D13" s="138">
        <v>1365</v>
      </c>
      <c r="E13" s="138"/>
      <c r="F13" s="138"/>
      <c r="G13" s="138"/>
      <c r="H13" s="138"/>
    </row>
    <row r="14" spans="1:18">
      <c r="A14" s="46" t="s">
        <v>557</v>
      </c>
      <c r="B14" s="255">
        <f>B13</f>
        <v>1186</v>
      </c>
      <c r="C14" s="255">
        <f>C13</f>
        <v>1390</v>
      </c>
      <c r="D14" s="255">
        <f>D13</f>
        <v>1365</v>
      </c>
      <c r="E14" s="255"/>
      <c r="F14" s="255"/>
      <c r="G14" s="255"/>
      <c r="H14" s="255"/>
    </row>
    <row r="15" spans="1:18">
      <c r="E15" s="123"/>
    </row>
    <row r="16" spans="1:18">
      <c r="A16" s="47" t="s">
        <v>452</v>
      </c>
    </row>
    <row r="17" spans="1:2" s="159" customFormat="1">
      <c r="A17" s="47" t="s">
        <v>438</v>
      </c>
    </row>
    <row r="18" spans="1:2">
      <c r="A18" s="47" t="s">
        <v>424</v>
      </c>
    </row>
    <row r="19" spans="1:2">
      <c r="A19" s="47"/>
    </row>
    <row r="20" spans="1:2">
      <c r="A20" s="169"/>
    </row>
    <row r="21" spans="1:2">
      <c r="A21" s="45" t="s">
        <v>186</v>
      </c>
      <c r="B21" s="38" t="s">
        <v>288</v>
      </c>
    </row>
    <row r="22" spans="1:2">
      <c r="A22" s="45" t="s">
        <v>187</v>
      </c>
      <c r="B22" s="38" t="s">
        <v>289</v>
      </c>
    </row>
    <row r="23" spans="1:2">
      <c r="A23" s="45" t="s">
        <v>286</v>
      </c>
      <c r="B23" s="38" t="s">
        <v>291</v>
      </c>
    </row>
    <row r="24" spans="1:2">
      <c r="A24" s="45" t="s">
        <v>287</v>
      </c>
      <c r="B24" s="38" t="s">
        <v>290</v>
      </c>
    </row>
    <row r="26" spans="1:2">
      <c r="A26" s="47"/>
    </row>
    <row r="27" spans="1:2">
      <c r="A27" s="123" t="s">
        <v>577</v>
      </c>
    </row>
    <row r="28" spans="1:2">
      <c r="A28" s="123" t="s">
        <v>578</v>
      </c>
    </row>
    <row r="29" spans="1:2">
      <c r="A29" s="123" t="s">
        <v>579</v>
      </c>
    </row>
    <row r="30" spans="1:2">
      <c r="A30" s="123" t="s">
        <v>581</v>
      </c>
    </row>
    <row r="31" spans="1:2">
      <c r="A31" s="123" t="s">
        <v>576</v>
      </c>
    </row>
    <row r="32" spans="1:2">
      <c r="A32" s="123" t="s">
        <v>580</v>
      </c>
    </row>
    <row r="33" spans="1:1" s="159" customFormat="1">
      <c r="A33" s="2" t="s">
        <v>564</v>
      </c>
    </row>
    <row r="34" spans="1:1" s="159" customFormat="1">
      <c r="A34" s="2" t="s">
        <v>565</v>
      </c>
    </row>
    <row r="35" spans="1:1" s="159" customFormat="1">
      <c r="A35" s="218" t="s">
        <v>575</v>
      </c>
    </row>
    <row r="36" spans="1:1" s="159" customFormat="1">
      <c r="A36" s="47"/>
    </row>
  </sheetData>
  <pageMargins left="0.70866141732283472" right="0.70866141732283472" top="0.74803149606299213" bottom="0.74803149606299213" header="0.31496062992125984" footer="0.31496062992125984"/>
  <pageSetup paperSize="9" scale="75" orientation="landscape" r:id="rId1"/>
  <headerFooter>
    <oddFooter>&amp;L&amp;Z&amp;F</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283"/>
  <sheetViews>
    <sheetView workbookViewId="0"/>
  </sheetViews>
  <sheetFormatPr defaultRowHeight="12.75"/>
  <cols>
    <col min="1" max="1" width="10" style="4" customWidth="1"/>
    <col min="2" max="2" width="43.28515625" style="4" customWidth="1"/>
    <col min="3" max="3" width="10.28515625" style="4" customWidth="1"/>
    <col min="4" max="9" width="10.140625" style="4" bestFit="1" customWidth="1"/>
    <col min="10" max="10" width="10.85546875" style="4" customWidth="1"/>
    <col min="11" max="11" width="9.140625" style="4"/>
    <col min="12" max="12" width="12" style="4" customWidth="1"/>
    <col min="13" max="13" width="8.85546875" style="4" customWidth="1"/>
    <col min="14" max="14" width="6.28515625" style="4" customWidth="1"/>
    <col min="15" max="15" width="10.5703125" style="4" customWidth="1"/>
    <col min="16" max="16384" width="9.140625" style="4"/>
  </cols>
  <sheetData>
    <row r="1" spans="1:15" ht="18.75">
      <c r="A1" s="28" t="s">
        <v>450</v>
      </c>
      <c r="B1" s="110"/>
      <c r="C1" s="110"/>
      <c r="D1" s="110"/>
      <c r="E1" s="110"/>
      <c r="F1" s="110"/>
      <c r="G1" s="110"/>
      <c r="H1" s="110"/>
      <c r="I1" s="110"/>
      <c r="J1" s="110"/>
      <c r="K1" s="110"/>
      <c r="L1" s="116"/>
      <c r="M1" s="110"/>
      <c r="N1" s="110"/>
      <c r="O1" s="13"/>
    </row>
    <row r="2" spans="1:15">
      <c r="O2" s="13"/>
    </row>
    <row r="3" spans="1:15">
      <c r="A3" s="27" t="s">
        <v>105</v>
      </c>
      <c r="B3" s="25" t="s">
        <v>106</v>
      </c>
      <c r="C3" s="1" t="s">
        <v>302</v>
      </c>
      <c r="D3" s="25" t="s">
        <v>107</v>
      </c>
      <c r="E3" s="25" t="s">
        <v>108</v>
      </c>
      <c r="F3" s="25" t="s">
        <v>109</v>
      </c>
      <c r="G3" s="25"/>
      <c r="H3" s="25"/>
      <c r="I3" s="25"/>
      <c r="J3" s="27" t="s">
        <v>563</v>
      </c>
      <c r="K3" s="26" t="s">
        <v>110</v>
      </c>
      <c r="L3" s="25" t="s">
        <v>80</v>
      </c>
      <c r="M3" s="25" t="s">
        <v>0</v>
      </c>
      <c r="N3" s="25" t="s">
        <v>1</v>
      </c>
      <c r="O3" s="71"/>
    </row>
    <row r="4" spans="1:15">
      <c r="A4" s="27"/>
      <c r="B4" s="25"/>
      <c r="C4" s="1">
        <f>Fiscaal!B3</f>
        <v>2015</v>
      </c>
      <c r="D4" s="1">
        <f>Fiscaal!C3</f>
        <v>2016</v>
      </c>
      <c r="E4" s="1">
        <f>Fiscaal!D3</f>
        <v>2017</v>
      </c>
      <c r="F4" s="1">
        <f>Fiscaal!E3</f>
        <v>2018</v>
      </c>
      <c r="G4" s="1">
        <f>Fiscaal!F3</f>
        <v>2019</v>
      </c>
      <c r="H4" s="1">
        <f>Fiscaal!G3</f>
        <v>2020</v>
      </c>
      <c r="I4" s="1">
        <f>Fiscaal!H3</f>
        <v>2021</v>
      </c>
      <c r="J4" s="25"/>
      <c r="K4" s="26"/>
      <c r="L4" s="25"/>
      <c r="M4" s="25"/>
      <c r="N4" s="25"/>
      <c r="O4" s="71"/>
    </row>
    <row r="5" spans="1:15" s="1" customFormat="1">
      <c r="O5" s="71"/>
    </row>
    <row r="6" spans="1:15" s="3" customFormat="1" ht="15">
      <c r="A6" s="15"/>
      <c r="B6" s="15" t="s">
        <v>61</v>
      </c>
      <c r="C6" s="15"/>
      <c r="D6" s="15"/>
      <c r="E6" s="15"/>
      <c r="F6" s="15"/>
      <c r="G6" s="15"/>
      <c r="H6" s="15"/>
      <c r="I6" s="15"/>
      <c r="J6" s="15"/>
      <c r="K6" s="15"/>
      <c r="L6" s="14"/>
      <c r="M6" s="15"/>
      <c r="N6" s="15"/>
      <c r="O6" s="15"/>
    </row>
    <row r="7" spans="1:15" ht="25.5">
      <c r="A7" s="7" t="s">
        <v>89</v>
      </c>
      <c r="B7" s="21" t="s">
        <v>87</v>
      </c>
      <c r="C7" s="116">
        <v>0.58299999999999996</v>
      </c>
      <c r="D7" s="116">
        <v>0.59399999999999997</v>
      </c>
      <c r="E7" s="116">
        <v>0.59399999999999997</v>
      </c>
      <c r="F7" s="116">
        <v>0.59399999999999997</v>
      </c>
      <c r="G7" s="116">
        <v>0.59399999999999997</v>
      </c>
      <c r="H7" s="116">
        <v>0.59399999999999997</v>
      </c>
      <c r="I7" s="116">
        <v>0.59399999999999997</v>
      </c>
      <c r="J7" s="4">
        <v>100</v>
      </c>
      <c r="K7" s="4">
        <v>11</v>
      </c>
      <c r="L7" s="116" t="s">
        <v>88</v>
      </c>
      <c r="M7" s="4" t="s">
        <v>11</v>
      </c>
      <c r="N7" s="4" t="s">
        <v>59</v>
      </c>
      <c r="O7" s="13"/>
    </row>
    <row r="8" spans="1:15" s="1" customFormat="1" ht="15">
      <c r="A8" s="87"/>
      <c r="B8" s="22" t="s">
        <v>91</v>
      </c>
      <c r="C8" s="114">
        <f>C7</f>
        <v>0.58299999999999996</v>
      </c>
      <c r="D8" s="114">
        <f t="shared" ref="D8:I8" si="0">D7</f>
        <v>0.59399999999999997</v>
      </c>
      <c r="E8" s="114">
        <f t="shared" si="0"/>
        <v>0.59399999999999997</v>
      </c>
      <c r="F8" s="114">
        <f t="shared" si="0"/>
        <v>0.59399999999999997</v>
      </c>
      <c r="G8" s="114">
        <f t="shared" si="0"/>
        <v>0.59399999999999997</v>
      </c>
      <c r="H8" s="114">
        <f t="shared" si="0"/>
        <v>0.59399999999999997</v>
      </c>
      <c r="I8" s="114">
        <f t="shared" si="0"/>
        <v>0.59399999999999997</v>
      </c>
      <c r="L8" s="25"/>
      <c r="O8" s="71"/>
    </row>
    <row r="9" spans="1:15" s="3" customFormat="1" ht="15">
      <c r="A9" s="1"/>
      <c r="B9" s="1"/>
      <c r="C9" s="59"/>
      <c r="D9" s="59"/>
      <c r="E9" s="59"/>
      <c r="F9" s="59"/>
      <c r="G9" s="59"/>
      <c r="H9" s="59"/>
      <c r="I9" s="59"/>
      <c r="J9" s="1"/>
      <c r="K9" s="1"/>
      <c r="L9" s="1"/>
      <c r="M9" s="1"/>
      <c r="N9" s="1"/>
      <c r="O9" s="71"/>
    </row>
    <row r="10" spans="1:15" s="7" customFormat="1" ht="15">
      <c r="A10" s="15"/>
      <c r="B10" s="15" t="s">
        <v>62</v>
      </c>
      <c r="C10" s="60"/>
      <c r="D10" s="60"/>
      <c r="E10" s="60"/>
      <c r="F10" s="60"/>
      <c r="G10" s="60"/>
      <c r="H10" s="60"/>
      <c r="I10" s="60"/>
      <c r="J10" s="15"/>
      <c r="K10" s="15"/>
      <c r="L10" s="14"/>
      <c r="M10" s="15"/>
      <c r="N10" s="15"/>
      <c r="O10" s="15"/>
    </row>
    <row r="11" spans="1:15" s="7" customFormat="1">
      <c r="A11" s="7" t="s">
        <v>206</v>
      </c>
      <c r="B11" s="7" t="s">
        <v>207</v>
      </c>
      <c r="C11" s="173">
        <v>0.20499999999999999</v>
      </c>
      <c r="D11" s="173">
        <v>0.23199999999999998</v>
      </c>
      <c r="E11" s="173">
        <v>0.24199999999999999</v>
      </c>
      <c r="F11" s="173">
        <v>0.24199999999999999</v>
      </c>
      <c r="G11" s="173">
        <v>0.24199999999999999</v>
      </c>
      <c r="H11" s="173">
        <v>0.24199999999999999</v>
      </c>
      <c r="I11" s="173">
        <v>0.24199999999999999</v>
      </c>
      <c r="J11" s="7">
        <v>10</v>
      </c>
      <c r="K11" s="116">
        <v>11</v>
      </c>
      <c r="L11" s="116" t="s">
        <v>88</v>
      </c>
      <c r="M11" s="7" t="s">
        <v>9</v>
      </c>
      <c r="N11" s="7" t="s">
        <v>58</v>
      </c>
      <c r="O11" s="73"/>
    </row>
    <row r="12" spans="1:15" s="7" customFormat="1">
      <c r="A12" s="7" t="s">
        <v>340</v>
      </c>
      <c r="B12" s="7" t="s">
        <v>225</v>
      </c>
      <c r="C12" s="173">
        <v>2.1000000000000001E-2</v>
      </c>
      <c r="D12" s="173">
        <v>0</v>
      </c>
      <c r="E12" s="173">
        <v>0</v>
      </c>
      <c r="F12" s="173">
        <v>0</v>
      </c>
      <c r="G12" s="173">
        <v>0</v>
      </c>
      <c r="H12" s="173">
        <v>0</v>
      </c>
      <c r="I12" s="173">
        <v>0</v>
      </c>
      <c r="J12" s="7">
        <v>25</v>
      </c>
      <c r="K12" s="116">
        <v>11</v>
      </c>
      <c r="L12" s="116" t="s">
        <v>88</v>
      </c>
      <c r="M12" s="7" t="s">
        <v>9</v>
      </c>
      <c r="N12" s="7" t="s">
        <v>58</v>
      </c>
      <c r="O12" s="73"/>
    </row>
    <row r="13" spans="1:15" s="7" customFormat="1">
      <c r="A13" s="7" t="s">
        <v>341</v>
      </c>
      <c r="B13" s="7" t="s">
        <v>208</v>
      </c>
      <c r="C13" s="173">
        <v>3.1749999999999998</v>
      </c>
      <c r="D13" s="173">
        <v>4</v>
      </c>
      <c r="E13" s="173">
        <v>3</v>
      </c>
      <c r="F13" s="173">
        <v>3</v>
      </c>
      <c r="G13" s="173">
        <v>3</v>
      </c>
      <c r="H13" s="173">
        <v>3</v>
      </c>
      <c r="I13" s="173">
        <v>3</v>
      </c>
      <c r="J13" s="7">
        <v>100</v>
      </c>
      <c r="K13" s="116">
        <v>11</v>
      </c>
      <c r="L13" s="116" t="s">
        <v>88</v>
      </c>
      <c r="M13" s="7" t="s">
        <v>13</v>
      </c>
      <c r="N13" s="7" t="s">
        <v>59</v>
      </c>
      <c r="O13" s="73"/>
    </row>
    <row r="14" spans="1:15" s="7" customFormat="1">
      <c r="A14" s="7" t="s">
        <v>232</v>
      </c>
      <c r="B14" s="7" t="s">
        <v>342</v>
      </c>
      <c r="C14" s="65">
        <v>20.483000000000001</v>
      </c>
      <c r="D14" s="65">
        <v>23.965</v>
      </c>
      <c r="E14" s="65">
        <v>22.622</v>
      </c>
      <c r="F14" s="65">
        <v>22.327000000000002</v>
      </c>
      <c r="G14" s="65">
        <v>22.274999999999999</v>
      </c>
      <c r="H14" s="65">
        <v>22.274999999999999</v>
      </c>
      <c r="I14" s="65">
        <v>22.274999999999999</v>
      </c>
      <c r="J14" s="7">
        <v>5</v>
      </c>
      <c r="K14" s="116">
        <v>11</v>
      </c>
      <c r="L14" s="116" t="s">
        <v>88</v>
      </c>
      <c r="M14" s="7" t="s">
        <v>13</v>
      </c>
      <c r="N14" s="7" t="s">
        <v>59</v>
      </c>
      <c r="O14" s="73"/>
    </row>
    <row r="15" spans="1:15" s="7" customFormat="1">
      <c r="A15" s="4" t="s">
        <v>343</v>
      </c>
      <c r="B15" s="4" t="s">
        <v>344</v>
      </c>
      <c r="C15" s="62">
        <v>5.6870000000000003</v>
      </c>
      <c r="D15" s="62">
        <v>6.3460000000000001</v>
      </c>
      <c r="E15" s="62">
        <v>6.3529999999999998</v>
      </c>
      <c r="F15" s="62">
        <v>6.5119999999999996</v>
      </c>
      <c r="G15" s="62">
        <v>6.5140000000000002</v>
      </c>
      <c r="H15" s="62">
        <v>6.5140000000000002</v>
      </c>
      <c r="I15" s="62">
        <v>6.5140000000000002</v>
      </c>
      <c r="J15" s="4">
        <v>5</v>
      </c>
      <c r="K15" s="116">
        <v>11</v>
      </c>
      <c r="L15" s="116" t="s">
        <v>88</v>
      </c>
      <c r="M15" s="7" t="s">
        <v>13</v>
      </c>
      <c r="N15" s="7" t="s">
        <v>59</v>
      </c>
      <c r="O15" s="13"/>
    </row>
    <row r="16" spans="1:15" s="1" customFormat="1">
      <c r="A16" s="4" t="s">
        <v>345</v>
      </c>
      <c r="B16" s="4" t="s">
        <v>346</v>
      </c>
      <c r="C16" s="62">
        <v>5.343</v>
      </c>
      <c r="D16" s="62">
        <v>5.3570000000000002</v>
      </c>
      <c r="E16" s="62">
        <v>5.2489999999999997</v>
      </c>
      <c r="F16" s="62">
        <v>5.6760000000000002</v>
      </c>
      <c r="G16" s="62">
        <v>5.8109999999999999</v>
      </c>
      <c r="H16" s="62">
        <v>5.8109999999999999</v>
      </c>
      <c r="I16" s="62">
        <v>5.8109999999999999</v>
      </c>
      <c r="J16" s="4">
        <v>5</v>
      </c>
      <c r="K16" s="116">
        <v>11</v>
      </c>
      <c r="L16" s="116" t="s">
        <v>88</v>
      </c>
      <c r="M16" s="7" t="s">
        <v>13</v>
      </c>
      <c r="N16" s="7" t="s">
        <v>59</v>
      </c>
      <c r="O16" s="13"/>
    </row>
    <row r="17" spans="1:15" s="1" customFormat="1" ht="15">
      <c r="A17" s="3"/>
      <c r="B17" s="3" t="s">
        <v>92</v>
      </c>
      <c r="C17" s="12">
        <f>SUM(C11:C16)</f>
        <v>34.914000000000001</v>
      </c>
      <c r="D17" s="12">
        <f t="shared" ref="D17:I17" si="1">SUM(D11:D16)</f>
        <v>39.9</v>
      </c>
      <c r="E17" s="12">
        <f t="shared" si="1"/>
        <v>37.466000000000001</v>
      </c>
      <c r="F17" s="12">
        <f t="shared" si="1"/>
        <v>37.757000000000005</v>
      </c>
      <c r="G17" s="12">
        <f t="shared" si="1"/>
        <v>37.841999999999999</v>
      </c>
      <c r="H17" s="12">
        <f t="shared" si="1"/>
        <v>37.841999999999999</v>
      </c>
      <c r="I17" s="12">
        <f t="shared" si="1"/>
        <v>37.841999999999999</v>
      </c>
      <c r="J17" s="3"/>
      <c r="K17" s="3"/>
      <c r="L17" s="3"/>
      <c r="M17" s="3"/>
      <c r="N17" s="3"/>
      <c r="O17" s="72"/>
    </row>
    <row r="18" spans="1:15">
      <c r="A18" s="1"/>
      <c r="B18" s="1"/>
      <c r="C18" s="59"/>
      <c r="D18" s="59"/>
      <c r="E18" s="59"/>
      <c r="F18" s="59"/>
      <c r="G18" s="59"/>
      <c r="H18" s="59"/>
      <c r="I18" s="59"/>
      <c r="J18" s="1"/>
      <c r="K18" s="1"/>
      <c r="L18" s="1"/>
      <c r="M18" s="1"/>
      <c r="N18" s="1"/>
      <c r="O18" s="71"/>
    </row>
    <row r="19" spans="1:15" ht="15">
      <c r="A19" s="14"/>
      <c r="B19" s="15" t="s">
        <v>63</v>
      </c>
      <c r="C19" s="61"/>
      <c r="D19" s="61"/>
      <c r="E19" s="61"/>
      <c r="F19" s="61"/>
      <c r="G19" s="61"/>
      <c r="H19" s="61"/>
      <c r="I19" s="61"/>
      <c r="J19" s="14"/>
      <c r="K19" s="14"/>
      <c r="L19" s="14"/>
      <c r="M19" s="14"/>
      <c r="N19" s="14"/>
      <c r="O19" s="14"/>
    </row>
    <row r="20" spans="1:15">
      <c r="A20" s="143" t="s">
        <v>97</v>
      </c>
      <c r="B20" s="116" t="s">
        <v>102</v>
      </c>
      <c r="C20" s="117">
        <v>6.375</v>
      </c>
      <c r="D20" s="117">
        <v>6.7</v>
      </c>
      <c r="E20" s="117">
        <v>6.7</v>
      </c>
      <c r="F20" s="117">
        <v>6.7</v>
      </c>
      <c r="G20" s="117">
        <v>6.7</v>
      </c>
      <c r="H20" s="117">
        <v>6.7</v>
      </c>
      <c r="I20" s="117">
        <v>6.7</v>
      </c>
      <c r="J20" s="116">
        <v>15</v>
      </c>
      <c r="K20" s="116">
        <v>11</v>
      </c>
      <c r="L20" s="116" t="s">
        <v>88</v>
      </c>
      <c r="M20" s="116" t="s">
        <v>11</v>
      </c>
      <c r="N20" s="116" t="s">
        <v>58</v>
      </c>
      <c r="O20" s="13"/>
    </row>
    <row r="21" spans="1:15">
      <c r="A21" s="143" t="s">
        <v>370</v>
      </c>
      <c r="B21" s="143" t="s">
        <v>104</v>
      </c>
      <c r="C21" s="146">
        <v>10.29</v>
      </c>
      <c r="D21" s="146">
        <v>9.8439999999999994</v>
      </c>
      <c r="E21" s="146">
        <v>9.4860000000000007</v>
      </c>
      <c r="F21" s="146">
        <v>9.3379999999999992</v>
      </c>
      <c r="G21" s="146">
        <v>9.3719999999999999</v>
      </c>
      <c r="H21" s="146">
        <v>9.3819999999999997</v>
      </c>
      <c r="I21" s="146">
        <v>9.3819999999999997</v>
      </c>
      <c r="J21" s="207">
        <v>14</v>
      </c>
      <c r="K21" s="143">
        <v>11</v>
      </c>
      <c r="L21" s="143" t="s">
        <v>88</v>
      </c>
      <c r="M21" s="143" t="s">
        <v>11</v>
      </c>
      <c r="N21" s="143" t="s">
        <v>58</v>
      </c>
      <c r="O21" s="73"/>
    </row>
    <row r="22" spans="1:15">
      <c r="A22" s="143" t="s">
        <v>97</v>
      </c>
      <c r="B22" s="116" t="s">
        <v>99</v>
      </c>
      <c r="C22" s="117">
        <v>2.7149999999999999</v>
      </c>
      <c r="D22" s="117">
        <v>2.488</v>
      </c>
      <c r="E22" s="117">
        <v>2.4620000000000002</v>
      </c>
      <c r="F22" s="117">
        <v>2.4670000000000001</v>
      </c>
      <c r="G22" s="117">
        <v>2.4670000000000001</v>
      </c>
      <c r="H22" s="117">
        <v>2.4670000000000001</v>
      </c>
      <c r="I22" s="117">
        <v>2.4689999999999999</v>
      </c>
      <c r="J22" s="116">
        <v>10</v>
      </c>
      <c r="K22" s="116">
        <v>11</v>
      </c>
      <c r="L22" s="116" t="s">
        <v>88</v>
      </c>
      <c r="M22" s="116" t="s">
        <v>100</v>
      </c>
      <c r="N22" s="4" t="s">
        <v>59</v>
      </c>
      <c r="O22" s="13"/>
    </row>
    <row r="23" spans="1:15">
      <c r="A23" s="143" t="s">
        <v>97</v>
      </c>
      <c r="B23" s="116" t="s">
        <v>101</v>
      </c>
      <c r="C23" s="117">
        <v>2.7160000000000002</v>
      </c>
      <c r="D23" s="117">
        <v>2.4889999999999999</v>
      </c>
      <c r="E23" s="117">
        <v>2.4630000000000001</v>
      </c>
      <c r="F23" s="117">
        <v>2.4670000000000001</v>
      </c>
      <c r="G23" s="117">
        <v>2.468</v>
      </c>
      <c r="H23" s="117">
        <v>2.468</v>
      </c>
      <c r="I23" s="117">
        <v>2.4689999999999999</v>
      </c>
      <c r="J23" s="116">
        <v>10</v>
      </c>
      <c r="K23" s="116">
        <v>11</v>
      </c>
      <c r="L23" s="116" t="s">
        <v>88</v>
      </c>
      <c r="M23" s="116" t="s">
        <v>9</v>
      </c>
      <c r="N23" s="4" t="s">
        <v>59</v>
      </c>
      <c r="O23" s="13"/>
    </row>
    <row r="24" spans="1:15" ht="15">
      <c r="A24" s="87"/>
      <c r="B24" s="3" t="s">
        <v>93</v>
      </c>
      <c r="C24" s="12">
        <f>SUM(C20:C23)</f>
        <v>22.096</v>
      </c>
      <c r="D24" s="12">
        <f t="shared" ref="D24:I24" si="2">SUM(D20:D23)</f>
        <v>21.521000000000001</v>
      </c>
      <c r="E24" s="12">
        <f t="shared" si="2"/>
        <v>21.111000000000001</v>
      </c>
      <c r="F24" s="12">
        <f t="shared" si="2"/>
        <v>20.971999999999998</v>
      </c>
      <c r="G24" s="12">
        <f t="shared" si="2"/>
        <v>21.006999999999998</v>
      </c>
      <c r="H24" s="12">
        <f t="shared" si="2"/>
        <v>21.016999999999999</v>
      </c>
      <c r="I24" s="12">
        <f t="shared" si="2"/>
        <v>21.020000000000003</v>
      </c>
      <c r="J24" s="3"/>
      <c r="K24" s="3"/>
      <c r="L24" s="1"/>
      <c r="M24" s="3"/>
      <c r="N24" s="3"/>
      <c r="O24" s="72"/>
    </row>
    <row r="25" spans="1:15" ht="15">
      <c r="A25" s="3"/>
      <c r="B25" s="3"/>
      <c r="C25" s="12"/>
      <c r="D25" s="12"/>
      <c r="E25" s="12"/>
      <c r="F25" s="12"/>
      <c r="G25" s="12"/>
      <c r="H25" s="12"/>
      <c r="I25" s="12"/>
      <c r="J25" s="3"/>
      <c r="K25" s="3"/>
      <c r="L25" s="1"/>
      <c r="M25" s="3"/>
      <c r="N25" s="3"/>
      <c r="O25" s="72"/>
    </row>
    <row r="26" spans="1:15" s="3" customFormat="1" ht="15">
      <c r="A26" s="15"/>
      <c r="B26" s="15" t="s">
        <v>95</v>
      </c>
      <c r="C26" s="60"/>
      <c r="D26" s="60"/>
      <c r="E26" s="60"/>
      <c r="F26" s="60"/>
      <c r="G26" s="60"/>
      <c r="H26" s="60"/>
      <c r="I26" s="60"/>
      <c r="J26" s="15"/>
      <c r="K26" s="15"/>
      <c r="L26" s="14"/>
      <c r="M26" s="15"/>
      <c r="N26" s="15"/>
      <c r="O26" s="15"/>
    </row>
    <row r="27" spans="1:15" s="3" customFormat="1" ht="15">
      <c r="A27" s="143" t="s">
        <v>319</v>
      </c>
      <c r="B27" s="116" t="s">
        <v>320</v>
      </c>
      <c r="C27" s="117">
        <v>3.4249999999999998</v>
      </c>
      <c r="D27" s="117">
        <v>3.581</v>
      </c>
      <c r="E27" s="117">
        <v>2.9049999999999998</v>
      </c>
      <c r="F27" s="117">
        <v>2.4950000000000001</v>
      </c>
      <c r="G27" s="117">
        <v>2.5049999999999999</v>
      </c>
      <c r="H27" s="117">
        <v>2.593</v>
      </c>
      <c r="I27" s="117">
        <v>2.9849999999999999</v>
      </c>
      <c r="J27" s="116">
        <v>80</v>
      </c>
      <c r="K27" s="116">
        <v>4</v>
      </c>
      <c r="L27" s="116" t="s">
        <v>435</v>
      </c>
      <c r="M27" s="8" t="s">
        <v>14</v>
      </c>
      <c r="N27" s="116" t="s">
        <v>59</v>
      </c>
      <c r="O27" s="1"/>
    </row>
    <row r="28" spans="1:15" s="3" customFormat="1" ht="15">
      <c r="A28" s="143" t="s">
        <v>319</v>
      </c>
      <c r="B28" s="116" t="s">
        <v>320</v>
      </c>
      <c r="C28" s="117">
        <v>0.245</v>
      </c>
      <c r="D28" s="117">
        <v>0.25600000000000001</v>
      </c>
      <c r="E28" s="117">
        <v>0.20699999999999999</v>
      </c>
      <c r="F28" s="117">
        <v>0.17799999999999999</v>
      </c>
      <c r="G28" s="117">
        <v>0.17899999999999999</v>
      </c>
      <c r="H28" s="117">
        <v>0.185</v>
      </c>
      <c r="I28" s="117">
        <v>0.21299999999999999</v>
      </c>
      <c r="J28" s="116">
        <v>80</v>
      </c>
      <c r="K28" s="116">
        <v>4</v>
      </c>
      <c r="L28" s="116" t="s">
        <v>435</v>
      </c>
      <c r="M28" s="8" t="s">
        <v>100</v>
      </c>
      <c r="N28" s="116" t="s">
        <v>59</v>
      </c>
      <c r="O28" s="1"/>
    </row>
    <row r="29" spans="1:15" s="3" customFormat="1" ht="15">
      <c r="A29" s="143" t="s">
        <v>319</v>
      </c>
      <c r="B29" s="116" t="s">
        <v>320</v>
      </c>
      <c r="C29" s="117">
        <v>8.5630000000000006</v>
      </c>
      <c r="D29" s="117">
        <v>8.952</v>
      </c>
      <c r="E29" s="117">
        <v>7.2619999999999996</v>
      </c>
      <c r="F29" s="117">
        <v>6.2370000000000001</v>
      </c>
      <c r="G29" s="117">
        <v>6.2619999999999996</v>
      </c>
      <c r="H29" s="117">
        <v>6.4820000000000002</v>
      </c>
      <c r="I29" s="117">
        <v>7.4619999999999997</v>
      </c>
      <c r="J29" s="116">
        <v>80</v>
      </c>
      <c r="K29" s="116">
        <v>4</v>
      </c>
      <c r="L29" s="116" t="s">
        <v>435</v>
      </c>
      <c r="M29" s="8" t="s">
        <v>9</v>
      </c>
      <c r="N29" s="116" t="s">
        <v>59</v>
      </c>
      <c r="O29" s="1"/>
    </row>
    <row r="30" spans="1:15" s="3" customFormat="1" ht="15">
      <c r="A30" s="87"/>
      <c r="B30" s="3" t="s">
        <v>96</v>
      </c>
      <c r="C30" s="6">
        <f>SUM(C27:C29)</f>
        <v>12.233000000000001</v>
      </c>
      <c r="D30" s="6">
        <f t="shared" ref="D30:I30" si="3">SUM(D27:D29)</f>
        <v>12.789</v>
      </c>
      <c r="E30" s="6">
        <f t="shared" si="3"/>
        <v>10.373999999999999</v>
      </c>
      <c r="F30" s="6">
        <f t="shared" si="3"/>
        <v>8.91</v>
      </c>
      <c r="G30" s="6">
        <f t="shared" si="3"/>
        <v>8.9459999999999997</v>
      </c>
      <c r="H30" s="6">
        <f t="shared" si="3"/>
        <v>9.26</v>
      </c>
      <c r="I30" s="6">
        <f t="shared" si="3"/>
        <v>10.66</v>
      </c>
      <c r="L30" s="1"/>
      <c r="O30" s="72"/>
    </row>
    <row r="31" spans="1:15" s="3" customFormat="1" ht="15">
      <c r="A31" s="1"/>
      <c r="B31" s="1"/>
      <c r="C31" s="59" t="s">
        <v>209</v>
      </c>
      <c r="D31" s="59"/>
      <c r="E31" s="59"/>
      <c r="F31" s="59"/>
      <c r="G31" s="59"/>
      <c r="H31" s="59"/>
      <c r="I31" s="59"/>
      <c r="J31" s="1"/>
      <c r="K31" s="1"/>
      <c r="L31" s="1"/>
      <c r="M31" s="1"/>
      <c r="N31" s="1"/>
      <c r="O31" s="71"/>
    </row>
    <row r="32" spans="1:15" s="3" customFormat="1" ht="15">
      <c r="A32" s="14"/>
      <c r="B32" s="15" t="s">
        <v>64</v>
      </c>
      <c r="C32" s="158"/>
      <c r="D32" s="61"/>
      <c r="E32" s="61"/>
      <c r="F32" s="61"/>
      <c r="G32" s="61"/>
      <c r="H32" s="61"/>
      <c r="I32" s="61"/>
      <c r="J32" s="14"/>
      <c r="K32" s="14"/>
      <c r="L32" s="14"/>
      <c r="M32" s="14"/>
      <c r="N32" s="14"/>
      <c r="O32" s="14"/>
    </row>
    <row r="33" spans="1:15" s="3" customFormat="1" ht="15">
      <c r="A33" s="163">
        <v>7</v>
      </c>
      <c r="B33" s="171" t="s">
        <v>118</v>
      </c>
      <c r="C33" s="167">
        <v>2412.444</v>
      </c>
      <c r="D33" s="167">
        <v>2476.6680000000001</v>
      </c>
      <c r="E33" s="167">
        <v>2466.1979999999999</v>
      </c>
      <c r="F33" s="167">
        <v>2450.8339999999998</v>
      </c>
      <c r="G33" s="167">
        <v>2457.6759999999999</v>
      </c>
      <c r="H33" s="167">
        <v>2476.922</v>
      </c>
      <c r="I33" s="167">
        <v>2497.4209999999998</v>
      </c>
      <c r="J33" s="245">
        <v>60.587342731383998</v>
      </c>
      <c r="K33" s="166" t="s">
        <v>546</v>
      </c>
      <c r="L33" s="164"/>
      <c r="M33" s="166"/>
      <c r="N33" s="164" t="s">
        <v>58</v>
      </c>
      <c r="O33" s="162"/>
    </row>
    <row r="34" spans="1:15" s="141" customFormat="1" ht="15">
      <c r="A34" s="163">
        <v>7</v>
      </c>
      <c r="B34" s="171" t="s">
        <v>119</v>
      </c>
      <c r="C34" s="172">
        <v>197.01440000000002</v>
      </c>
      <c r="D34" s="172">
        <v>208.81740000000002</v>
      </c>
      <c r="E34" s="172">
        <v>209.77440000000001</v>
      </c>
      <c r="F34" s="172">
        <v>205.1808</v>
      </c>
      <c r="G34" s="172">
        <v>205.65930000000003</v>
      </c>
      <c r="H34" s="172">
        <v>206.20159999999998</v>
      </c>
      <c r="I34" s="172">
        <v>206.68010000000001</v>
      </c>
      <c r="J34" s="164">
        <v>31.9</v>
      </c>
      <c r="K34" s="166" t="s">
        <v>283</v>
      </c>
      <c r="L34" s="164" t="s">
        <v>141</v>
      </c>
      <c r="M34" s="166"/>
      <c r="N34" s="164" t="s">
        <v>58</v>
      </c>
      <c r="O34" s="74"/>
    </row>
    <row r="35" spans="1:15" s="141" customFormat="1" ht="15">
      <c r="A35" s="163">
        <v>6</v>
      </c>
      <c r="B35" s="171" t="s">
        <v>427</v>
      </c>
      <c r="C35" s="172">
        <v>70.046000000000006</v>
      </c>
      <c r="D35" s="172">
        <v>71.018000000000001</v>
      </c>
      <c r="E35" s="172">
        <v>70.805999999999997</v>
      </c>
      <c r="F35" s="172">
        <v>70.805999999999997</v>
      </c>
      <c r="G35" s="172">
        <v>70.811999999999998</v>
      </c>
      <c r="H35" s="172">
        <v>70.811999999999998</v>
      </c>
      <c r="I35" s="172">
        <v>70.811999999999998</v>
      </c>
      <c r="J35" s="164">
        <v>100</v>
      </c>
      <c r="K35" s="166" t="s">
        <v>546</v>
      </c>
      <c r="L35" s="164"/>
      <c r="M35" s="166"/>
      <c r="N35" s="164" t="s">
        <v>58</v>
      </c>
      <c r="O35" s="74"/>
    </row>
    <row r="36" spans="1:15" s="23" customFormat="1">
      <c r="A36" s="163">
        <v>7</v>
      </c>
      <c r="B36" s="164" t="s">
        <v>120</v>
      </c>
      <c r="C36" s="165">
        <v>2.4418500000000001</v>
      </c>
      <c r="D36" s="165">
        <v>2.0503499999999999</v>
      </c>
      <c r="E36" s="165">
        <v>2.0957999999999997</v>
      </c>
      <c r="F36" s="165">
        <v>2.0957999999999997</v>
      </c>
      <c r="G36" s="165">
        <v>2.0957999999999997</v>
      </c>
      <c r="H36" s="165">
        <v>2.0957999999999997</v>
      </c>
      <c r="I36" s="165">
        <v>2.0957999999999997</v>
      </c>
      <c r="J36" s="164">
        <v>15</v>
      </c>
      <c r="K36" s="166">
        <v>11</v>
      </c>
      <c r="L36" s="143" t="s">
        <v>88</v>
      </c>
      <c r="M36" s="164" t="s">
        <v>9</v>
      </c>
      <c r="N36" s="164" t="s">
        <v>58</v>
      </c>
      <c r="O36" s="74"/>
    </row>
    <row r="37" spans="1:15" s="23" customFormat="1">
      <c r="A37" s="163">
        <v>7</v>
      </c>
      <c r="B37" s="164" t="s">
        <v>121</v>
      </c>
      <c r="C37" s="165">
        <v>0.67500000000000004</v>
      </c>
      <c r="D37" s="165">
        <v>0.67049999999999998</v>
      </c>
      <c r="E37" s="165">
        <v>0.6855</v>
      </c>
      <c r="F37" s="165">
        <v>0.67049999999999998</v>
      </c>
      <c r="G37" s="165">
        <v>0.67049999999999998</v>
      </c>
      <c r="H37" s="165">
        <v>0.67049999999999998</v>
      </c>
      <c r="I37" s="165">
        <v>0.67049999999999998</v>
      </c>
      <c r="J37" s="164">
        <v>75</v>
      </c>
      <c r="K37" s="166" t="s">
        <v>122</v>
      </c>
      <c r="L37" s="143" t="s">
        <v>123</v>
      </c>
      <c r="M37" s="164" t="s">
        <v>9</v>
      </c>
      <c r="N37" s="164" t="s">
        <v>58</v>
      </c>
      <c r="O37" s="74"/>
    </row>
    <row r="38" spans="1:15" s="23" customFormat="1">
      <c r="A38" s="163">
        <v>16</v>
      </c>
      <c r="B38" s="164" t="s">
        <v>124</v>
      </c>
      <c r="C38" s="167">
        <v>42.662400000000005</v>
      </c>
      <c r="D38" s="167">
        <v>42.91872</v>
      </c>
      <c r="E38" s="167">
        <v>41.658239999999999</v>
      </c>
      <c r="F38" s="167">
        <v>41.309759999999997</v>
      </c>
      <c r="G38" s="167">
        <v>41.31024</v>
      </c>
      <c r="H38" s="167">
        <v>41.310719999999996</v>
      </c>
      <c r="I38" s="167">
        <v>41.31168000000001</v>
      </c>
      <c r="J38" s="164">
        <v>48</v>
      </c>
      <c r="K38" s="73" t="s">
        <v>20</v>
      </c>
      <c r="L38" s="143"/>
      <c r="M38" s="164" t="s">
        <v>124</v>
      </c>
      <c r="N38" s="164" t="s">
        <v>58</v>
      </c>
      <c r="O38" s="74"/>
    </row>
    <row r="39" spans="1:15" s="23" customFormat="1">
      <c r="A39" s="163">
        <v>16</v>
      </c>
      <c r="B39" s="164" t="s">
        <v>541</v>
      </c>
      <c r="C39" s="167">
        <v>8.9677000000000007</v>
      </c>
      <c r="D39" s="167">
        <v>8.8248999999999995</v>
      </c>
      <c r="E39" s="167">
        <v>4.5548000000000002</v>
      </c>
      <c r="F39" s="167">
        <v>4.5117000000000003</v>
      </c>
      <c r="G39" s="167">
        <v>4.5117000000000003</v>
      </c>
      <c r="H39" s="167">
        <v>4.5117000000000003</v>
      </c>
      <c r="I39" s="167">
        <v>4.5118999999999998</v>
      </c>
      <c r="J39" s="164">
        <v>10</v>
      </c>
      <c r="K39" s="73">
        <v>10</v>
      </c>
      <c r="L39" s="143" t="s">
        <v>98</v>
      </c>
      <c r="M39" s="164" t="s">
        <v>11</v>
      </c>
      <c r="N39" s="164" t="s">
        <v>58</v>
      </c>
      <c r="O39" s="74"/>
    </row>
    <row r="40" spans="1:15" s="23" customFormat="1">
      <c r="A40" s="163">
        <v>16</v>
      </c>
      <c r="B40" s="164" t="s">
        <v>542</v>
      </c>
      <c r="C40" s="167">
        <v>6.2619999999999996</v>
      </c>
      <c r="D40" s="167">
        <v>6.266</v>
      </c>
      <c r="E40" s="167">
        <v>6.2649999999999997</v>
      </c>
      <c r="F40" s="167">
        <v>6.2649999999999997</v>
      </c>
      <c r="G40" s="167">
        <v>6.2649999999999997</v>
      </c>
      <c r="H40" s="167">
        <v>6.2649999999999997</v>
      </c>
      <c r="I40" s="167">
        <v>6.266</v>
      </c>
      <c r="J40" s="164">
        <v>100</v>
      </c>
      <c r="K40" s="166" t="s">
        <v>126</v>
      </c>
      <c r="L40" s="143" t="s">
        <v>127</v>
      </c>
      <c r="M40" s="164" t="s">
        <v>128</v>
      </c>
      <c r="N40" s="164" t="s">
        <v>58</v>
      </c>
      <c r="O40" s="74"/>
    </row>
    <row r="41" spans="1:15" s="23" customFormat="1">
      <c r="A41" s="163">
        <v>16</v>
      </c>
      <c r="B41" s="164" t="s">
        <v>135</v>
      </c>
      <c r="C41" s="167">
        <v>8.359</v>
      </c>
      <c r="D41" s="167">
        <v>8.359</v>
      </c>
      <c r="E41" s="167">
        <v>8.3580000000000005</v>
      </c>
      <c r="F41" s="167">
        <v>8.3580000000000005</v>
      </c>
      <c r="G41" s="167">
        <v>8.3580000000000005</v>
      </c>
      <c r="H41" s="167">
        <v>8.3580000000000005</v>
      </c>
      <c r="I41" s="167">
        <v>8.359</v>
      </c>
      <c r="J41" s="164">
        <v>100</v>
      </c>
      <c r="K41" s="166">
        <v>7</v>
      </c>
      <c r="L41" s="143" t="s">
        <v>136</v>
      </c>
      <c r="M41" s="164" t="s">
        <v>9</v>
      </c>
      <c r="N41" s="164" t="s">
        <v>58</v>
      </c>
      <c r="O41" s="74"/>
    </row>
    <row r="42" spans="1:15" s="23" customFormat="1">
      <c r="A42" s="163">
        <v>16</v>
      </c>
      <c r="B42" s="164" t="s">
        <v>137</v>
      </c>
      <c r="C42" s="167">
        <v>0.219</v>
      </c>
      <c r="D42" s="167">
        <v>0.221</v>
      </c>
      <c r="E42" s="167">
        <v>0.221</v>
      </c>
      <c r="F42" s="167">
        <v>0.221</v>
      </c>
      <c r="G42" s="167">
        <v>0.221</v>
      </c>
      <c r="H42" s="167">
        <v>0.221</v>
      </c>
      <c r="I42" s="167">
        <v>0.221</v>
      </c>
      <c r="J42" s="164">
        <v>100</v>
      </c>
      <c r="K42" s="166" t="s">
        <v>138</v>
      </c>
      <c r="L42" s="143" t="s">
        <v>139</v>
      </c>
      <c r="M42" s="164" t="s">
        <v>9</v>
      </c>
      <c r="N42" s="164" t="s">
        <v>58</v>
      </c>
      <c r="O42" s="74"/>
    </row>
    <row r="43" spans="1:15" s="23" customFormat="1">
      <c r="A43" s="163">
        <v>16</v>
      </c>
      <c r="B43" s="164" t="s">
        <v>129</v>
      </c>
      <c r="C43" s="167">
        <v>0.81200000000000006</v>
      </c>
      <c r="D43" s="167">
        <v>0.81200000000000006</v>
      </c>
      <c r="E43" s="167">
        <v>0.81200000000000006</v>
      </c>
      <c r="F43" s="167">
        <v>0.81200000000000006</v>
      </c>
      <c r="G43" s="167">
        <v>0.81200000000000006</v>
      </c>
      <c r="H43" s="167">
        <v>0.81200000000000006</v>
      </c>
      <c r="I43" s="167">
        <v>0.81200000000000006</v>
      </c>
      <c r="J43" s="164">
        <v>100</v>
      </c>
      <c r="K43" s="166" t="s">
        <v>126</v>
      </c>
      <c r="L43" s="143" t="s">
        <v>127</v>
      </c>
      <c r="M43" s="164" t="s">
        <v>13</v>
      </c>
      <c r="N43" s="164" t="s">
        <v>58</v>
      </c>
      <c r="O43" s="74"/>
    </row>
    <row r="44" spans="1:15" s="23" customFormat="1">
      <c r="A44" s="163">
        <v>16</v>
      </c>
      <c r="B44" s="164" t="s">
        <v>130</v>
      </c>
      <c r="C44" s="167">
        <v>4.8460000000000001</v>
      </c>
      <c r="D44" s="167">
        <v>4.851</v>
      </c>
      <c r="E44" s="167">
        <v>4.851</v>
      </c>
      <c r="F44" s="167">
        <v>4.851</v>
      </c>
      <c r="G44" s="167">
        <v>4.851</v>
      </c>
      <c r="H44" s="167">
        <v>4.851</v>
      </c>
      <c r="I44" s="167">
        <v>4.851</v>
      </c>
      <c r="J44" s="164">
        <v>100</v>
      </c>
      <c r="K44" s="166" t="s">
        <v>126</v>
      </c>
      <c r="L44" s="143" t="s">
        <v>127</v>
      </c>
      <c r="M44" s="164" t="s">
        <v>13</v>
      </c>
      <c r="N44" s="164" t="s">
        <v>58</v>
      </c>
      <c r="O44" s="74"/>
    </row>
    <row r="45" spans="1:15" s="23" customFormat="1">
      <c r="A45" s="163">
        <v>16</v>
      </c>
      <c r="B45" s="164" t="s">
        <v>133</v>
      </c>
      <c r="C45" s="167">
        <v>47.832000000000001</v>
      </c>
      <c r="D45" s="167">
        <v>45</v>
      </c>
      <c r="E45" s="167">
        <v>40</v>
      </c>
      <c r="F45" s="167">
        <v>40</v>
      </c>
      <c r="G45" s="167">
        <v>40</v>
      </c>
      <c r="H45" s="167">
        <v>40</v>
      </c>
      <c r="I45" s="167">
        <v>40</v>
      </c>
      <c r="J45" s="164">
        <v>100</v>
      </c>
      <c r="K45" s="166" t="s">
        <v>126</v>
      </c>
      <c r="L45" s="143" t="s">
        <v>127</v>
      </c>
      <c r="M45" s="164" t="s">
        <v>13</v>
      </c>
      <c r="N45" s="164" t="s">
        <v>58</v>
      </c>
      <c r="O45" s="73"/>
    </row>
    <row r="46" spans="1:15" s="23" customFormat="1">
      <c r="A46" s="163">
        <v>16</v>
      </c>
      <c r="B46" s="164" t="s">
        <v>134</v>
      </c>
      <c r="C46" s="167">
        <v>7.032</v>
      </c>
      <c r="D46" s="167">
        <v>9.1050000000000004</v>
      </c>
      <c r="E46" s="167">
        <v>9.1050000000000004</v>
      </c>
      <c r="F46" s="167">
        <v>9.1050000000000004</v>
      </c>
      <c r="G46" s="167">
        <v>9.1050000000000004</v>
      </c>
      <c r="H46" s="167">
        <v>9.1050000000000004</v>
      </c>
      <c r="I46" s="167">
        <v>9.1050000000000004</v>
      </c>
      <c r="J46" s="164">
        <v>100</v>
      </c>
      <c r="K46" s="166" t="s">
        <v>126</v>
      </c>
      <c r="L46" s="143" t="s">
        <v>127</v>
      </c>
      <c r="M46" s="164" t="s">
        <v>13</v>
      </c>
      <c r="N46" s="164" t="s">
        <v>58</v>
      </c>
      <c r="O46" s="74"/>
    </row>
    <row r="47" spans="1:15" s="23" customFormat="1">
      <c r="A47" s="163" t="s">
        <v>149</v>
      </c>
      <c r="B47" s="164" t="s">
        <v>318</v>
      </c>
      <c r="C47" s="167">
        <v>10.260000000000002</v>
      </c>
      <c r="D47" s="167">
        <v>9.3690000000000015</v>
      </c>
      <c r="E47" s="167">
        <v>9.072000000000001</v>
      </c>
      <c r="F47" s="167">
        <v>8.7750000000000004</v>
      </c>
      <c r="G47" s="167">
        <v>8.8290000000000006</v>
      </c>
      <c r="H47" s="167">
        <v>8.8290000000000006</v>
      </c>
      <c r="I47" s="167"/>
      <c r="J47" s="164">
        <v>27</v>
      </c>
      <c r="K47" s="166">
        <v>10</v>
      </c>
      <c r="L47" s="143" t="s">
        <v>98</v>
      </c>
      <c r="M47" s="164" t="s">
        <v>11</v>
      </c>
      <c r="N47" s="164" t="s">
        <v>58</v>
      </c>
      <c r="O47" s="74"/>
    </row>
    <row r="48" spans="1:15" s="23" customFormat="1">
      <c r="A48" s="163" t="s">
        <v>149</v>
      </c>
      <c r="B48" s="164" t="s">
        <v>150</v>
      </c>
      <c r="C48" s="167">
        <v>0.31944</v>
      </c>
      <c r="D48" s="167">
        <v>0.38345999999999997</v>
      </c>
      <c r="E48" s="167">
        <v>0.30324000000000001</v>
      </c>
      <c r="F48" s="167">
        <v>0.30324000000000001</v>
      </c>
      <c r="G48" s="167">
        <v>0.30324000000000001</v>
      </c>
      <c r="H48" s="167">
        <v>0.30324000000000001</v>
      </c>
      <c r="I48" s="167"/>
      <c r="J48" s="164">
        <v>6</v>
      </c>
      <c r="K48" s="166">
        <v>10</v>
      </c>
      <c r="L48" s="143" t="s">
        <v>98</v>
      </c>
      <c r="M48" s="164" t="s">
        <v>11</v>
      </c>
      <c r="N48" s="164" t="s">
        <v>58</v>
      </c>
      <c r="O48" s="74"/>
    </row>
    <row r="49" spans="1:18" s="23" customFormat="1">
      <c r="A49" s="163" t="s">
        <v>149</v>
      </c>
      <c r="B49" s="164" t="s">
        <v>152</v>
      </c>
      <c r="C49" s="167">
        <v>0.72699999999999998</v>
      </c>
      <c r="D49" s="167">
        <v>0.73699999999999999</v>
      </c>
      <c r="E49" s="167">
        <v>0.73099999999999998</v>
      </c>
      <c r="F49" s="167">
        <v>0.73099999999999998</v>
      </c>
      <c r="G49" s="167">
        <v>0.73099999999999998</v>
      </c>
      <c r="H49" s="167">
        <v>0.73099999999999998</v>
      </c>
      <c r="I49" s="167"/>
      <c r="J49" s="164">
        <v>100</v>
      </c>
      <c r="K49" s="166">
        <v>10</v>
      </c>
      <c r="L49" s="143" t="s">
        <v>98</v>
      </c>
      <c r="M49" s="164" t="s">
        <v>9</v>
      </c>
      <c r="N49" s="164" t="s">
        <v>58</v>
      </c>
      <c r="O49" s="74"/>
    </row>
    <row r="50" spans="1:18" s="23" customFormat="1">
      <c r="A50" s="163">
        <v>16</v>
      </c>
      <c r="B50" s="164" t="s">
        <v>570</v>
      </c>
      <c r="C50" s="167">
        <v>122.87693908046782</v>
      </c>
      <c r="D50" s="167">
        <v>74.931859396543885</v>
      </c>
      <c r="E50" s="167">
        <v>87.318703500213473</v>
      </c>
      <c r="F50" s="167">
        <v>87.318703500213473</v>
      </c>
      <c r="G50" s="167">
        <v>87.318703500213473</v>
      </c>
      <c r="H50" s="167">
        <v>87.318703500213473</v>
      </c>
      <c r="I50" s="167">
        <v>87.318703500213473</v>
      </c>
      <c r="J50" s="257">
        <v>92.404655752850402</v>
      </c>
      <c r="K50" s="166" t="s">
        <v>20</v>
      </c>
      <c r="L50" s="143"/>
      <c r="M50" s="164" t="s">
        <v>26</v>
      </c>
      <c r="N50" s="164" t="s">
        <v>58</v>
      </c>
      <c r="O50" s="74"/>
    </row>
    <row r="51" spans="1:18" s="23" customFormat="1">
      <c r="A51" s="163">
        <v>16</v>
      </c>
      <c r="B51" s="164" t="s">
        <v>559</v>
      </c>
      <c r="C51" s="167">
        <v>323.62882584320778</v>
      </c>
      <c r="D51" s="167">
        <v>362.71599522666349</v>
      </c>
      <c r="E51" s="167">
        <v>332.04226974950484</v>
      </c>
      <c r="F51" s="167">
        <v>356.82889460864936</v>
      </c>
      <c r="G51" s="167">
        <v>312.84889870308024</v>
      </c>
      <c r="H51" s="167">
        <v>311.74743520650628</v>
      </c>
      <c r="I51" s="167">
        <v>311.7936375343827</v>
      </c>
      <c r="J51" s="257">
        <v>92.404655752850402</v>
      </c>
      <c r="K51" s="166" t="s">
        <v>20</v>
      </c>
      <c r="L51" s="143"/>
      <c r="M51" s="164" t="s">
        <v>26</v>
      </c>
      <c r="N51" s="164" t="s">
        <v>59</v>
      </c>
      <c r="O51" s="74"/>
    </row>
    <row r="52" spans="1:18" s="23" customFormat="1">
      <c r="A52" s="163">
        <v>6</v>
      </c>
      <c r="B52" s="164" t="s">
        <v>538</v>
      </c>
      <c r="C52" s="167">
        <v>28.696000000000002</v>
      </c>
      <c r="D52" s="167">
        <v>29.477</v>
      </c>
      <c r="E52" s="167">
        <v>28.134</v>
      </c>
      <c r="F52" s="167">
        <v>31.134</v>
      </c>
      <c r="G52" s="167">
        <v>28.134</v>
      </c>
      <c r="H52" s="167">
        <v>28.134</v>
      </c>
      <c r="I52" s="167">
        <v>28.134</v>
      </c>
      <c r="J52" s="164">
        <v>100</v>
      </c>
      <c r="K52" s="166" t="s">
        <v>546</v>
      </c>
      <c r="L52" s="143"/>
      <c r="M52" s="164"/>
      <c r="N52" s="164" t="s">
        <v>59</v>
      </c>
      <c r="O52" s="74"/>
    </row>
    <row r="53" spans="1:18" s="1" customFormat="1">
      <c r="A53" s="163">
        <v>16</v>
      </c>
      <c r="B53" s="171" t="s">
        <v>548</v>
      </c>
      <c r="C53" s="172">
        <v>162.31800000000001</v>
      </c>
      <c r="D53" s="172">
        <v>161.40899999999999</v>
      </c>
      <c r="E53" s="172">
        <v>161.24600000000001</v>
      </c>
      <c r="F53" s="172">
        <v>160.88499999999999</v>
      </c>
      <c r="G53" s="172">
        <v>160.88499999999999</v>
      </c>
      <c r="H53" s="172">
        <v>160.88499999999999</v>
      </c>
      <c r="I53" s="172">
        <v>160.88499999999999</v>
      </c>
      <c r="J53" s="164">
        <v>100</v>
      </c>
      <c r="K53" s="166" t="s">
        <v>20</v>
      </c>
      <c r="L53" s="164"/>
      <c r="M53" s="163" t="s">
        <v>26</v>
      </c>
      <c r="N53" s="164" t="s">
        <v>59</v>
      </c>
      <c r="O53" s="74"/>
      <c r="Q53" s="59"/>
    </row>
    <row r="54" spans="1:18" s="23" customFormat="1">
      <c r="A54" s="163">
        <v>16</v>
      </c>
      <c r="B54" s="164" t="s">
        <v>315</v>
      </c>
      <c r="C54" s="167">
        <v>8</v>
      </c>
      <c r="D54" s="167">
        <v>8</v>
      </c>
      <c r="E54" s="167">
        <v>8</v>
      </c>
      <c r="F54" s="167">
        <v>8</v>
      </c>
      <c r="G54" s="167">
        <v>8</v>
      </c>
      <c r="H54" s="167">
        <v>8</v>
      </c>
      <c r="I54" s="167">
        <v>8</v>
      </c>
      <c r="J54" s="164">
        <v>100</v>
      </c>
      <c r="K54" s="73" t="s">
        <v>138</v>
      </c>
      <c r="L54" s="143" t="s">
        <v>139</v>
      </c>
      <c r="M54" s="164" t="s">
        <v>144</v>
      </c>
      <c r="N54" s="164" t="s">
        <v>59</v>
      </c>
      <c r="O54" s="74"/>
      <c r="P54" s="121"/>
      <c r="R54" s="121"/>
    </row>
    <row r="55" spans="1:18" s="23" customFormat="1">
      <c r="A55" s="163">
        <v>16</v>
      </c>
      <c r="B55" s="164" t="s">
        <v>316</v>
      </c>
      <c r="C55" s="168">
        <v>54.243000000000002</v>
      </c>
      <c r="D55" s="168">
        <v>55.295000000000002</v>
      </c>
      <c r="E55" s="168">
        <v>55.381999999999998</v>
      </c>
      <c r="F55" s="168">
        <v>55.38</v>
      </c>
      <c r="G55" s="168">
        <v>55.38</v>
      </c>
      <c r="H55" s="168">
        <v>55.38</v>
      </c>
      <c r="I55" s="168">
        <v>55.38</v>
      </c>
      <c r="J55" s="164">
        <v>100</v>
      </c>
      <c r="K55" s="73">
        <v>13</v>
      </c>
      <c r="L55" s="143" t="s">
        <v>145</v>
      </c>
      <c r="M55" s="164" t="s">
        <v>26</v>
      </c>
      <c r="N55" s="164" t="s">
        <v>59</v>
      </c>
      <c r="O55" s="74"/>
      <c r="P55" s="121"/>
      <c r="Q55" s="121"/>
      <c r="R55" s="121"/>
    </row>
    <row r="56" spans="1:18" s="23" customFormat="1">
      <c r="A56" s="163">
        <v>16</v>
      </c>
      <c r="B56" s="164" t="s">
        <v>317</v>
      </c>
      <c r="C56" s="168">
        <v>21.603000000000002</v>
      </c>
      <c r="D56" s="168">
        <v>21.725000000000001</v>
      </c>
      <c r="E56" s="168">
        <v>18.768999999999998</v>
      </c>
      <c r="F56" s="168">
        <v>17.193999999999999</v>
      </c>
      <c r="G56" s="168">
        <v>16.344000000000001</v>
      </c>
      <c r="H56" s="168">
        <v>15.912000000000001</v>
      </c>
      <c r="I56" s="168">
        <v>15.912000000000001</v>
      </c>
      <c r="J56" s="164">
        <v>100</v>
      </c>
      <c r="K56" s="166">
        <v>9</v>
      </c>
      <c r="L56" s="143" t="s">
        <v>143</v>
      </c>
      <c r="M56" s="164" t="s">
        <v>26</v>
      </c>
      <c r="N56" s="164" t="s">
        <v>59</v>
      </c>
      <c r="O56" s="74"/>
    </row>
    <row r="57" spans="1:18" s="23" customFormat="1">
      <c r="A57" s="163">
        <v>16</v>
      </c>
      <c r="B57" s="164" t="s">
        <v>545</v>
      </c>
      <c r="C57" s="168">
        <v>2.5</v>
      </c>
      <c r="D57" s="168">
        <v>2.5</v>
      </c>
      <c r="E57" s="168">
        <v>2.5</v>
      </c>
      <c r="F57" s="168">
        <v>2.5</v>
      </c>
      <c r="G57" s="168">
        <v>2.5</v>
      </c>
      <c r="H57" s="168">
        <v>2.5</v>
      </c>
      <c r="I57" s="168">
        <v>2.5</v>
      </c>
      <c r="J57" s="164">
        <v>100</v>
      </c>
      <c r="K57" s="166">
        <v>1</v>
      </c>
      <c r="L57" s="143" t="s">
        <v>146</v>
      </c>
      <c r="M57" s="164" t="s">
        <v>26</v>
      </c>
      <c r="N57" s="164" t="s">
        <v>59</v>
      </c>
      <c r="O57" s="74"/>
    </row>
    <row r="58" spans="1:18" s="23" customFormat="1">
      <c r="A58" s="163">
        <v>16</v>
      </c>
      <c r="B58" s="164" t="s">
        <v>140</v>
      </c>
      <c r="C58" s="168">
        <v>2.9420000000000002</v>
      </c>
      <c r="D58" s="168">
        <v>3.1469999999999998</v>
      </c>
      <c r="E58" s="168">
        <v>3.1469999999999998</v>
      </c>
      <c r="F58" s="168">
        <v>3.1469999999999998</v>
      </c>
      <c r="G58" s="168">
        <v>3.1469999999999998</v>
      </c>
      <c r="H58" s="168">
        <v>3.1469999999999998</v>
      </c>
      <c r="I58" s="168">
        <v>1.5</v>
      </c>
      <c r="J58" s="164">
        <v>100</v>
      </c>
      <c r="K58" s="166" t="s">
        <v>126</v>
      </c>
      <c r="L58" s="143" t="s">
        <v>127</v>
      </c>
      <c r="M58" s="164" t="s">
        <v>26</v>
      </c>
      <c r="N58" s="164" t="s">
        <v>59</v>
      </c>
      <c r="O58" s="73"/>
    </row>
    <row r="59" spans="1:18" s="23" customFormat="1">
      <c r="A59" s="163">
        <v>16</v>
      </c>
      <c r="B59" s="164" t="s">
        <v>147</v>
      </c>
      <c r="C59" s="167">
        <v>2.8849999999999998</v>
      </c>
      <c r="D59" s="167">
        <v>5.024</v>
      </c>
      <c r="E59" s="167">
        <v>5.609</v>
      </c>
      <c r="F59" s="167">
        <v>6.0359999999999996</v>
      </c>
      <c r="G59" s="167">
        <v>6.2670000000000003</v>
      </c>
      <c r="H59" s="167">
        <v>6.2750000000000004</v>
      </c>
      <c r="I59" s="167">
        <v>6.2750000000000004</v>
      </c>
      <c r="J59" s="164">
        <v>50</v>
      </c>
      <c r="K59" s="166">
        <v>13</v>
      </c>
      <c r="L59" s="143" t="s">
        <v>145</v>
      </c>
      <c r="M59" s="164" t="s">
        <v>59</v>
      </c>
      <c r="N59" s="164" t="s">
        <v>59</v>
      </c>
      <c r="O59" s="74"/>
    </row>
    <row r="60" spans="1:18" s="23" customFormat="1">
      <c r="A60" s="163">
        <v>16</v>
      </c>
      <c r="B60" s="164" t="s">
        <v>148</v>
      </c>
      <c r="C60" s="167">
        <v>3.6360000000000001</v>
      </c>
      <c r="D60" s="167">
        <v>2.75</v>
      </c>
      <c r="E60" s="167">
        <v>1.25</v>
      </c>
      <c r="F60" s="167">
        <v>0</v>
      </c>
      <c r="G60" s="167">
        <v>0</v>
      </c>
      <c r="H60" s="167">
        <v>0</v>
      </c>
      <c r="I60" s="167">
        <v>0</v>
      </c>
      <c r="J60" s="164">
        <v>100</v>
      </c>
      <c r="K60" s="166">
        <v>13</v>
      </c>
      <c r="L60" s="143" t="s">
        <v>145</v>
      </c>
      <c r="M60" s="164" t="s">
        <v>59</v>
      </c>
      <c r="N60" s="164" t="s">
        <v>59</v>
      </c>
      <c r="O60" s="74"/>
    </row>
    <row r="61" spans="1:18" s="23" customFormat="1">
      <c r="A61" s="163">
        <v>16</v>
      </c>
      <c r="B61" s="164" t="s">
        <v>131</v>
      </c>
      <c r="C61" s="167">
        <v>30.95</v>
      </c>
      <c r="D61" s="167">
        <v>30.95</v>
      </c>
      <c r="E61" s="167">
        <v>31.065000000000001</v>
      </c>
      <c r="F61" s="167">
        <v>31.065000000000001</v>
      </c>
      <c r="G61" s="167">
        <v>31.065000000000001</v>
      </c>
      <c r="H61" s="167">
        <v>31.065000000000001</v>
      </c>
      <c r="I61" s="167">
        <v>31.065000000000001</v>
      </c>
      <c r="J61" s="164">
        <v>100</v>
      </c>
      <c r="K61" s="166">
        <v>3</v>
      </c>
      <c r="L61" s="143" t="s">
        <v>132</v>
      </c>
      <c r="M61" s="164" t="s">
        <v>13</v>
      </c>
      <c r="N61" s="164" t="s">
        <v>59</v>
      </c>
      <c r="O61" s="74"/>
    </row>
    <row r="62" spans="1:18" s="142" customFormat="1">
      <c r="A62" s="163" t="s">
        <v>28</v>
      </c>
      <c r="B62" s="164" t="s">
        <v>558</v>
      </c>
      <c r="C62" s="167">
        <v>11.9</v>
      </c>
      <c r="D62" s="167">
        <v>11.9</v>
      </c>
      <c r="E62" s="167">
        <v>11.9</v>
      </c>
      <c r="F62" s="167">
        <v>11.9</v>
      </c>
      <c r="G62" s="167">
        <v>11.9</v>
      </c>
      <c r="H62" s="167">
        <v>11.9</v>
      </c>
      <c r="I62" s="167">
        <v>11.9</v>
      </c>
      <c r="J62" s="164">
        <v>100</v>
      </c>
      <c r="K62" s="166">
        <v>9</v>
      </c>
      <c r="L62" s="143" t="s">
        <v>143</v>
      </c>
      <c r="M62" s="164" t="s">
        <v>59</v>
      </c>
      <c r="N62" s="164" t="s">
        <v>59</v>
      </c>
      <c r="O62" s="74"/>
    </row>
    <row r="63" spans="1:18" s="23" customFormat="1">
      <c r="A63" s="163" t="s">
        <v>149</v>
      </c>
      <c r="B63" s="164" t="s">
        <v>151</v>
      </c>
      <c r="C63" s="167">
        <v>1.9119999999999999</v>
      </c>
      <c r="D63" s="167">
        <v>2.5720000000000001</v>
      </c>
      <c r="E63" s="167">
        <v>2.129</v>
      </c>
      <c r="F63" s="167">
        <v>2.129</v>
      </c>
      <c r="G63" s="167">
        <v>2.129</v>
      </c>
      <c r="H63" s="167">
        <v>2.129</v>
      </c>
      <c r="I63" s="167">
        <v>2.129</v>
      </c>
      <c r="J63" s="164">
        <v>100</v>
      </c>
      <c r="K63" s="166">
        <v>10</v>
      </c>
      <c r="L63" s="143" t="s">
        <v>98</v>
      </c>
      <c r="M63" s="164" t="s">
        <v>59</v>
      </c>
      <c r="N63" s="164" t="s">
        <v>59</v>
      </c>
      <c r="O63" s="74"/>
    </row>
    <row r="64" spans="1:18" s="23" customFormat="1" ht="15">
      <c r="A64" s="248"/>
      <c r="B64" s="249" t="s">
        <v>94</v>
      </c>
      <c r="C64" s="12">
        <f>SUM(C33:C63)</f>
        <v>3599.0105549236764</v>
      </c>
      <c r="D64" s="12">
        <f t="shared" ref="D64:I64" si="4">SUM(D33:D63)</f>
        <v>3668.4681846232079</v>
      </c>
      <c r="E64" s="12">
        <f t="shared" si="4"/>
        <v>3623.9829532497183</v>
      </c>
      <c r="F64" s="12">
        <f t="shared" si="4"/>
        <v>3628.3473981088641</v>
      </c>
      <c r="G64" s="12">
        <f t="shared" si="4"/>
        <v>3588.129382203294</v>
      </c>
      <c r="H64" s="12">
        <f t="shared" si="4"/>
        <v>3606.3926987067207</v>
      </c>
      <c r="I64" s="12">
        <f t="shared" si="4"/>
        <v>3615.9093210345964</v>
      </c>
      <c r="J64" s="249"/>
      <c r="K64" s="250"/>
      <c r="L64" s="251"/>
      <c r="M64" s="249"/>
      <c r="N64" s="249"/>
      <c r="O64" s="74"/>
    </row>
    <row r="65" spans="1:15" s="23" customFormat="1">
      <c r="A65" s="4"/>
      <c r="B65" s="4"/>
      <c r="C65" s="62"/>
      <c r="D65" s="62"/>
      <c r="E65" s="62"/>
      <c r="F65" s="62"/>
      <c r="G65" s="62"/>
      <c r="H65" s="62"/>
      <c r="I65" s="62"/>
      <c r="J65" s="4"/>
      <c r="K65" s="4"/>
      <c r="L65" s="4"/>
      <c r="M65" s="4"/>
      <c r="N65" s="4"/>
      <c r="O65" s="13"/>
    </row>
    <row r="66" spans="1:15" s="23" customFormat="1" ht="15">
      <c r="A66" s="14"/>
      <c r="B66" s="15" t="s">
        <v>60</v>
      </c>
      <c r="C66" s="61"/>
      <c r="D66" s="61"/>
      <c r="E66" s="61"/>
      <c r="F66" s="61"/>
      <c r="G66" s="61"/>
      <c r="H66" s="61"/>
      <c r="I66" s="61"/>
      <c r="J66" s="14"/>
      <c r="K66" s="14"/>
      <c r="L66" s="14"/>
      <c r="M66" s="14"/>
      <c r="N66" s="14"/>
      <c r="O66" s="14"/>
    </row>
    <row r="67" spans="1:15" s="23" customFormat="1">
      <c r="A67" s="143" t="s">
        <v>82</v>
      </c>
      <c r="B67" s="116" t="s">
        <v>321</v>
      </c>
      <c r="C67" s="116">
        <v>33.542999999999999</v>
      </c>
      <c r="D67" s="116">
        <v>37.027999999999999</v>
      </c>
      <c r="E67" s="116">
        <v>36.807000000000002</v>
      </c>
      <c r="F67" s="116">
        <v>36.808</v>
      </c>
      <c r="G67" s="116">
        <v>36.808</v>
      </c>
      <c r="H67" s="116">
        <v>36.808</v>
      </c>
      <c r="I67" s="116">
        <v>36.808</v>
      </c>
      <c r="J67" s="116">
        <v>100</v>
      </c>
      <c r="K67" s="116">
        <v>14</v>
      </c>
      <c r="L67" s="116" t="s">
        <v>84</v>
      </c>
      <c r="M67" s="116" t="s">
        <v>543</v>
      </c>
      <c r="N67" s="119" t="s">
        <v>58</v>
      </c>
      <c r="O67" s="75"/>
    </row>
    <row r="68" spans="1:15" s="23" customFormat="1">
      <c r="A68" s="143" t="s">
        <v>82</v>
      </c>
      <c r="B68" s="116" t="s">
        <v>85</v>
      </c>
      <c r="C68" s="116">
        <v>0.51700000000000002</v>
      </c>
      <c r="D68" s="116">
        <v>0.51700000000000002</v>
      </c>
      <c r="E68" s="116">
        <v>0.51700000000000002</v>
      </c>
      <c r="F68" s="116">
        <v>0.51700000000000002</v>
      </c>
      <c r="G68" s="116">
        <v>0.51700000000000002</v>
      </c>
      <c r="H68" s="116">
        <v>0.51700000000000002</v>
      </c>
      <c r="I68" s="116">
        <v>0.51700000000000002</v>
      </c>
      <c r="J68" s="116">
        <v>100</v>
      </c>
      <c r="K68" s="116">
        <v>14</v>
      </c>
      <c r="L68" s="116" t="s">
        <v>84</v>
      </c>
      <c r="M68" s="116" t="s">
        <v>9</v>
      </c>
      <c r="N68" s="119" t="s">
        <v>58</v>
      </c>
      <c r="O68" s="75"/>
    </row>
    <row r="69" spans="1:15" s="23" customFormat="1">
      <c r="A69" s="143" t="s">
        <v>82</v>
      </c>
      <c r="B69" s="116" t="s">
        <v>83</v>
      </c>
      <c r="C69" s="116">
        <v>8.2959999999999994</v>
      </c>
      <c r="D69" s="116">
        <v>5.0949999999999998</v>
      </c>
      <c r="E69" s="116">
        <v>5.0949999999999998</v>
      </c>
      <c r="F69" s="116">
        <v>5.0949999999999998</v>
      </c>
      <c r="G69" s="116">
        <v>5.0949999999999998</v>
      </c>
      <c r="H69" s="116">
        <v>5.0949999999999998</v>
      </c>
      <c r="I69" s="116">
        <v>5.0949999999999998</v>
      </c>
      <c r="J69" s="116">
        <v>100</v>
      </c>
      <c r="K69" s="116">
        <v>14</v>
      </c>
      <c r="L69" s="116" t="s">
        <v>84</v>
      </c>
      <c r="M69" s="116" t="s">
        <v>14</v>
      </c>
      <c r="N69" s="119" t="s">
        <v>59</v>
      </c>
      <c r="O69" s="75"/>
    </row>
    <row r="70" spans="1:15" s="23" customFormat="1">
      <c r="A70" s="143" t="s">
        <v>82</v>
      </c>
      <c r="B70" s="116" t="s">
        <v>83</v>
      </c>
      <c r="C70" s="116">
        <v>18.792000000000002</v>
      </c>
      <c r="D70" s="116">
        <v>18.05</v>
      </c>
      <c r="E70" s="116">
        <v>18.05</v>
      </c>
      <c r="F70" s="116">
        <v>18.052</v>
      </c>
      <c r="G70" s="116">
        <v>18.052</v>
      </c>
      <c r="H70" s="116">
        <v>18.052</v>
      </c>
      <c r="I70" s="116">
        <v>18.052</v>
      </c>
      <c r="J70" s="116">
        <v>100</v>
      </c>
      <c r="K70" s="116">
        <v>14</v>
      </c>
      <c r="L70" s="116" t="s">
        <v>84</v>
      </c>
      <c r="M70" s="116" t="s">
        <v>544</v>
      </c>
      <c r="N70" s="119" t="s">
        <v>59</v>
      </c>
      <c r="O70" s="75"/>
    </row>
    <row r="71" spans="1:15" s="23" customFormat="1">
      <c r="A71" s="143" t="s">
        <v>82</v>
      </c>
      <c r="B71" s="116" t="s">
        <v>83</v>
      </c>
      <c r="C71" s="116">
        <v>0.46400000000000002</v>
      </c>
      <c r="D71" s="117">
        <v>0</v>
      </c>
      <c r="E71" s="117">
        <v>0</v>
      </c>
      <c r="F71" s="117">
        <v>0</v>
      </c>
      <c r="G71" s="117">
        <v>0</v>
      </c>
      <c r="H71" s="117">
        <v>0</v>
      </c>
      <c r="I71" s="117">
        <v>0</v>
      </c>
      <c r="J71" s="116">
        <v>100</v>
      </c>
      <c r="K71" s="116">
        <v>14</v>
      </c>
      <c r="L71" s="116" t="s">
        <v>84</v>
      </c>
      <c r="M71" s="116" t="s">
        <v>100</v>
      </c>
      <c r="N71" s="119" t="s">
        <v>59</v>
      </c>
      <c r="O71" s="75"/>
    </row>
    <row r="72" spans="1:15" s="23" customFormat="1" ht="15">
      <c r="A72" s="87"/>
      <c r="B72" s="3" t="s">
        <v>86</v>
      </c>
      <c r="C72" s="12">
        <f>SUM(C67:C71)</f>
        <v>61.612000000000002</v>
      </c>
      <c r="D72" s="12">
        <f t="shared" ref="D72:I72" si="5">SUM(D67:D71)</f>
        <v>60.69</v>
      </c>
      <c r="E72" s="12">
        <f t="shared" si="5"/>
        <v>60.469000000000008</v>
      </c>
      <c r="F72" s="12">
        <f t="shared" si="5"/>
        <v>60.472000000000001</v>
      </c>
      <c r="G72" s="12">
        <f t="shared" si="5"/>
        <v>60.472000000000001</v>
      </c>
      <c r="H72" s="12">
        <f t="shared" si="5"/>
        <v>60.472000000000001</v>
      </c>
      <c r="I72" s="12">
        <f t="shared" si="5"/>
        <v>60.472000000000001</v>
      </c>
      <c r="J72" s="3"/>
      <c r="K72" s="3"/>
      <c r="L72" s="1"/>
      <c r="M72" s="3"/>
      <c r="N72" s="3"/>
      <c r="O72" s="72"/>
    </row>
    <row r="73" spans="1:15" ht="15">
      <c r="A73" s="87"/>
      <c r="B73" s="3"/>
      <c r="C73" s="12"/>
      <c r="D73" s="12"/>
      <c r="E73" s="12"/>
      <c r="F73" s="12"/>
      <c r="G73" s="12"/>
      <c r="H73" s="12"/>
      <c r="I73" s="12"/>
      <c r="J73" s="3"/>
      <c r="K73" s="3"/>
      <c r="L73" s="1"/>
      <c r="M73" s="3"/>
      <c r="N73" s="3"/>
      <c r="O73" s="72"/>
    </row>
    <row r="74" spans="1:15" ht="15">
      <c r="A74" s="15"/>
      <c r="B74" s="29" t="s">
        <v>111</v>
      </c>
      <c r="C74" s="60"/>
      <c r="D74" s="63"/>
      <c r="E74" s="63"/>
      <c r="F74" s="63"/>
      <c r="G74" s="63"/>
      <c r="H74" s="63"/>
      <c r="I74" s="63"/>
      <c r="J74" s="30"/>
      <c r="K74" s="29"/>
      <c r="L74" s="111"/>
      <c r="M74" s="111"/>
      <c r="N74" s="29"/>
      <c r="O74" s="29"/>
    </row>
    <row r="75" spans="1:15" s="1" customFormat="1" ht="15">
      <c r="A75" s="143" t="s">
        <v>175</v>
      </c>
      <c r="B75" s="143" t="s">
        <v>167</v>
      </c>
      <c r="C75" s="146">
        <v>3.3000000000000002E-2</v>
      </c>
      <c r="D75" s="146">
        <v>3.3000000000000002E-2</v>
      </c>
      <c r="E75" s="146">
        <v>3.3000000000000002E-2</v>
      </c>
      <c r="F75" s="146">
        <v>3.3000000000000002E-2</v>
      </c>
      <c r="G75" s="146">
        <v>3.3000000000000002E-2</v>
      </c>
      <c r="H75" s="146">
        <v>3.3000000000000002E-2</v>
      </c>
      <c r="I75" s="146">
        <v>3.3000000000000002E-2</v>
      </c>
      <c r="J75" s="147">
        <v>0</v>
      </c>
      <c r="K75" s="143">
        <v>4</v>
      </c>
      <c r="L75" s="143" t="s">
        <v>435</v>
      </c>
      <c r="M75" s="143" t="s">
        <v>168</v>
      </c>
      <c r="N75" s="143" t="s">
        <v>58</v>
      </c>
      <c r="O75" s="148"/>
    </row>
    <row r="76" spans="1:15" s="18" customFormat="1" ht="15">
      <c r="A76" s="143" t="s">
        <v>175</v>
      </c>
      <c r="B76" s="143" t="s">
        <v>371</v>
      </c>
      <c r="C76" s="146">
        <v>0.25</v>
      </c>
      <c r="D76" s="146">
        <v>0.25</v>
      </c>
      <c r="E76" s="146">
        <v>0.2</v>
      </c>
      <c r="F76" s="146">
        <v>0.2</v>
      </c>
      <c r="G76" s="146">
        <v>0.15</v>
      </c>
      <c r="H76" s="146">
        <v>0.15</v>
      </c>
      <c r="I76" s="146">
        <v>0.15</v>
      </c>
      <c r="J76" s="147">
        <v>0</v>
      </c>
      <c r="K76" s="143">
        <v>4</v>
      </c>
      <c r="L76" s="143" t="s">
        <v>435</v>
      </c>
      <c r="M76" s="143" t="s">
        <v>165</v>
      </c>
      <c r="N76" s="143" t="s">
        <v>58</v>
      </c>
      <c r="O76" s="148"/>
    </row>
    <row r="77" spans="1:15" s="18" customFormat="1" ht="15">
      <c r="A77" s="143" t="s">
        <v>175</v>
      </c>
      <c r="B77" s="143" t="s">
        <v>173</v>
      </c>
      <c r="C77" s="146">
        <v>0.6</v>
      </c>
      <c r="D77" s="146">
        <v>0.6</v>
      </c>
      <c r="E77" s="146">
        <v>0.6</v>
      </c>
      <c r="F77" s="146">
        <v>0.6</v>
      </c>
      <c r="G77" s="146">
        <v>0.6</v>
      </c>
      <c r="H77" s="146">
        <v>0.6</v>
      </c>
      <c r="I77" s="146">
        <v>0.6</v>
      </c>
      <c r="J77" s="147">
        <v>0.1</v>
      </c>
      <c r="K77" s="143">
        <v>4</v>
      </c>
      <c r="L77" s="143" t="s">
        <v>435</v>
      </c>
      <c r="M77" s="143" t="s">
        <v>174</v>
      </c>
      <c r="N77" s="143" t="s">
        <v>58</v>
      </c>
      <c r="O77" s="148"/>
    </row>
    <row r="78" spans="1:15" s="18" customFormat="1" ht="15">
      <c r="A78" s="143" t="s">
        <v>175</v>
      </c>
      <c r="B78" s="143" t="s">
        <v>157</v>
      </c>
      <c r="C78" s="146">
        <v>0.36299999999999999</v>
      </c>
      <c r="D78" s="146">
        <v>0.36299999999999999</v>
      </c>
      <c r="E78" s="146">
        <v>0.42399999999999999</v>
      </c>
      <c r="F78" s="146">
        <v>0.36299999999999999</v>
      </c>
      <c r="G78" s="146" t="s">
        <v>506</v>
      </c>
      <c r="H78" s="146" t="s">
        <v>506</v>
      </c>
      <c r="I78" s="146" t="s">
        <v>506</v>
      </c>
      <c r="J78" s="147">
        <v>0.1</v>
      </c>
      <c r="K78" s="143">
        <v>4</v>
      </c>
      <c r="L78" s="143" t="s">
        <v>435</v>
      </c>
      <c r="M78" s="143" t="s">
        <v>158</v>
      </c>
      <c r="N78" s="143" t="s">
        <v>58</v>
      </c>
      <c r="O78" s="148"/>
    </row>
    <row r="79" spans="1:15" s="18" customFormat="1" ht="15">
      <c r="A79" s="143" t="s">
        <v>175</v>
      </c>
      <c r="B79" s="143" t="s">
        <v>156</v>
      </c>
      <c r="C79" s="146">
        <v>0.17</v>
      </c>
      <c r="D79" s="146">
        <v>0.13</v>
      </c>
      <c r="E79" s="146">
        <v>0.13</v>
      </c>
      <c r="F79" s="146">
        <v>0.13</v>
      </c>
      <c r="G79" s="146">
        <v>0.13</v>
      </c>
      <c r="H79" s="146">
        <v>0.13</v>
      </c>
      <c r="I79" s="146">
        <v>0.13</v>
      </c>
      <c r="J79" s="147">
        <v>0</v>
      </c>
      <c r="K79" s="143">
        <v>4</v>
      </c>
      <c r="L79" s="143" t="s">
        <v>435</v>
      </c>
      <c r="M79" s="143" t="s">
        <v>156</v>
      </c>
      <c r="N79" s="143" t="s">
        <v>58</v>
      </c>
      <c r="O79" s="148"/>
    </row>
    <row r="80" spans="1:15" s="18" customFormat="1" ht="15">
      <c r="A80" s="143" t="s">
        <v>175</v>
      </c>
      <c r="B80" s="143" t="s">
        <v>154</v>
      </c>
      <c r="C80" s="146">
        <v>0.6</v>
      </c>
      <c r="D80" s="146">
        <v>0.55000000000000004</v>
      </c>
      <c r="E80" s="146">
        <v>0.55000000000000004</v>
      </c>
      <c r="F80" s="146">
        <v>0.55000000000000004</v>
      </c>
      <c r="G80" s="146">
        <v>0.55000000000000004</v>
      </c>
      <c r="H80" s="146">
        <v>0.55000000000000004</v>
      </c>
      <c r="I80" s="146">
        <v>0.55000000000000004</v>
      </c>
      <c r="J80" s="147">
        <v>0.105687390789696</v>
      </c>
      <c r="K80" s="143">
        <v>4</v>
      </c>
      <c r="L80" s="143" t="s">
        <v>435</v>
      </c>
      <c r="M80" s="143" t="s">
        <v>155</v>
      </c>
      <c r="N80" s="143" t="s">
        <v>58</v>
      </c>
      <c r="O80" s="148"/>
    </row>
    <row r="81" spans="1:15" s="3" customFormat="1" ht="15">
      <c r="A81" s="143" t="s">
        <v>175</v>
      </c>
      <c r="B81" s="143" t="s">
        <v>372</v>
      </c>
      <c r="C81" s="146">
        <v>0.47499999999999998</v>
      </c>
      <c r="D81" s="146">
        <v>0.47499999999999998</v>
      </c>
      <c r="E81" s="146">
        <v>0.47499999999999998</v>
      </c>
      <c r="F81" s="146">
        <v>0.47499999999999998</v>
      </c>
      <c r="G81" s="146">
        <v>0.47499999999999998</v>
      </c>
      <c r="H81" s="146">
        <v>0.47499999999999998</v>
      </c>
      <c r="I81" s="146">
        <v>0.47499999999999998</v>
      </c>
      <c r="J81" s="147">
        <v>0.1</v>
      </c>
      <c r="K81" s="143">
        <v>4</v>
      </c>
      <c r="L81" s="143" t="s">
        <v>435</v>
      </c>
      <c r="M81" s="143" t="s">
        <v>171</v>
      </c>
      <c r="N81" s="143" t="s">
        <v>58</v>
      </c>
      <c r="O81" s="148"/>
    </row>
    <row r="82" spans="1:15" s="3" customFormat="1" ht="15">
      <c r="A82" s="143" t="s">
        <v>175</v>
      </c>
      <c r="B82" s="143" t="s">
        <v>373</v>
      </c>
      <c r="C82" s="146">
        <v>0</v>
      </c>
      <c r="D82" s="146">
        <v>1.3839999999999999</v>
      </c>
      <c r="E82" s="146">
        <v>1.3959999999999999</v>
      </c>
      <c r="F82" s="146">
        <v>1.339</v>
      </c>
      <c r="G82" s="146">
        <v>1.339</v>
      </c>
      <c r="H82" s="146">
        <v>1.3160000000000001</v>
      </c>
      <c r="I82" s="146">
        <v>1.3160000000000001</v>
      </c>
      <c r="J82" s="147">
        <v>0.370258159066569</v>
      </c>
      <c r="K82" s="143">
        <v>4</v>
      </c>
      <c r="L82" s="143" t="s">
        <v>435</v>
      </c>
      <c r="M82" s="143" t="s">
        <v>423</v>
      </c>
      <c r="N82" s="143" t="s">
        <v>58</v>
      </c>
      <c r="O82" s="148"/>
    </row>
    <row r="83" spans="1:15" s="3" customFormat="1" ht="15">
      <c r="A83" s="143" t="s">
        <v>374</v>
      </c>
      <c r="B83" s="143" t="s">
        <v>159</v>
      </c>
      <c r="C83" s="146">
        <v>27.283999999999999</v>
      </c>
      <c r="D83" s="146">
        <v>26.041</v>
      </c>
      <c r="E83" s="146">
        <v>23.157</v>
      </c>
      <c r="F83" s="146">
        <v>21.885000000000002</v>
      </c>
      <c r="G83" s="146">
        <v>22.010999999999999</v>
      </c>
      <c r="H83" s="146">
        <v>22.131</v>
      </c>
      <c r="I83" s="146">
        <v>22.131</v>
      </c>
      <c r="J83" s="147">
        <v>10.6</v>
      </c>
      <c r="K83" s="143">
        <v>2</v>
      </c>
      <c r="L83" s="143" t="s">
        <v>160</v>
      </c>
      <c r="M83" s="143" t="s">
        <v>161</v>
      </c>
      <c r="N83" s="143" t="s">
        <v>58</v>
      </c>
      <c r="O83" s="148"/>
    </row>
    <row r="84" spans="1:15" s="3" customFormat="1" ht="15">
      <c r="A84" s="143" t="s">
        <v>376</v>
      </c>
      <c r="B84" s="143" t="s">
        <v>375</v>
      </c>
      <c r="C84" s="146">
        <v>7.7850000000000001</v>
      </c>
      <c r="D84" s="146">
        <v>8.0540000000000003</v>
      </c>
      <c r="E84" s="146">
        <v>7.1840000000000002</v>
      </c>
      <c r="F84" s="146">
        <v>7.0549999999999997</v>
      </c>
      <c r="G84" s="146">
        <v>7.056</v>
      </c>
      <c r="H84" s="146">
        <v>7.0570000000000004</v>
      </c>
      <c r="I84" s="146">
        <v>7.0620000000000003</v>
      </c>
      <c r="J84" s="147">
        <f>0.290968003240178*100</f>
        <v>29.096800324017803</v>
      </c>
      <c r="K84" s="143">
        <v>1.3</v>
      </c>
      <c r="L84" s="143"/>
      <c r="M84" s="143" t="s">
        <v>162</v>
      </c>
      <c r="N84" s="143" t="s">
        <v>58</v>
      </c>
      <c r="O84" s="148"/>
    </row>
    <row r="85" spans="1:15" s="3" customFormat="1" ht="15">
      <c r="A85" s="143" t="s">
        <v>381</v>
      </c>
      <c r="B85" s="143" t="s">
        <v>380</v>
      </c>
      <c r="C85" s="146">
        <v>0.52300000000000002</v>
      </c>
      <c r="D85" s="146">
        <v>0.45</v>
      </c>
      <c r="E85" s="146">
        <v>0.45</v>
      </c>
      <c r="F85" s="146">
        <v>0.45</v>
      </c>
      <c r="G85" s="146">
        <v>0.45</v>
      </c>
      <c r="H85" s="146">
        <v>0.45</v>
      </c>
      <c r="I85" s="146">
        <v>0.45</v>
      </c>
      <c r="J85" s="147">
        <f>0.00891442155309033*100</f>
        <v>0.89144215530903292</v>
      </c>
      <c r="K85" s="143">
        <v>4</v>
      </c>
      <c r="L85" s="143" t="s">
        <v>435</v>
      </c>
      <c r="M85" s="143" t="s">
        <v>505</v>
      </c>
      <c r="N85" s="143" t="s">
        <v>58</v>
      </c>
      <c r="O85" s="148"/>
    </row>
    <row r="86" spans="1:15" s="3" customFormat="1" ht="15">
      <c r="A86" s="143" t="s">
        <v>382</v>
      </c>
      <c r="B86" s="143" t="s">
        <v>504</v>
      </c>
      <c r="C86" s="146">
        <v>1.3420000000000001</v>
      </c>
      <c r="D86" s="146">
        <v>1.38</v>
      </c>
      <c r="E86" s="146">
        <v>1.605</v>
      </c>
      <c r="F86" s="146">
        <v>1.605</v>
      </c>
      <c r="G86" s="146">
        <v>1.605</v>
      </c>
      <c r="H86" s="146">
        <v>1.605</v>
      </c>
      <c r="I86" s="146">
        <v>1.605</v>
      </c>
      <c r="J86" s="147">
        <f>0.0317947702060222*100</f>
        <v>3.1794770206022198</v>
      </c>
      <c r="K86" s="143">
        <v>4</v>
      </c>
      <c r="L86" s="143" t="s">
        <v>435</v>
      </c>
      <c r="M86" s="143" t="s">
        <v>166</v>
      </c>
      <c r="N86" s="143" t="s">
        <v>58</v>
      </c>
      <c r="O86" s="148"/>
    </row>
    <row r="87" spans="1:15" s="3" customFormat="1" ht="15">
      <c r="A87" s="200" t="s">
        <v>383</v>
      </c>
      <c r="B87" s="200" t="s">
        <v>169</v>
      </c>
      <c r="C87" s="201">
        <v>3.738</v>
      </c>
      <c r="D87" s="201">
        <v>3.7869999999999999</v>
      </c>
      <c r="E87" s="201">
        <v>4.0199999999999996</v>
      </c>
      <c r="F87" s="201">
        <v>4.0199999999999996</v>
      </c>
      <c r="G87" s="201">
        <v>4.0199999999999996</v>
      </c>
      <c r="H87" s="201">
        <v>4.0199999999999996</v>
      </c>
      <c r="I87" s="201">
        <v>4.0199999999999996</v>
      </c>
      <c r="J87" s="202">
        <f>0.239015399250847*100</f>
        <v>23.901539925084698</v>
      </c>
      <c r="K87" s="200">
        <v>4</v>
      </c>
      <c r="L87" s="200" t="s">
        <v>435</v>
      </c>
      <c r="M87" s="143" t="s">
        <v>170</v>
      </c>
      <c r="N87" s="200" t="s">
        <v>58</v>
      </c>
      <c r="O87" s="203"/>
    </row>
    <row r="88" spans="1:15" s="3" customFormat="1" ht="15">
      <c r="A88" s="143" t="s">
        <v>384</v>
      </c>
      <c r="B88" s="143" t="s">
        <v>172</v>
      </c>
      <c r="C88" s="146">
        <v>1.32</v>
      </c>
      <c r="D88" s="146">
        <v>1.161</v>
      </c>
      <c r="E88" s="146">
        <v>1.0900000000000001</v>
      </c>
      <c r="F88" s="146">
        <v>1.054</v>
      </c>
      <c r="G88" s="146">
        <v>1.321</v>
      </c>
      <c r="H88" s="146">
        <v>1.321</v>
      </c>
      <c r="I88" s="146">
        <v>1.321</v>
      </c>
      <c r="J88" s="147">
        <v>3.6</v>
      </c>
      <c r="K88" s="143">
        <v>2</v>
      </c>
      <c r="L88" s="143" t="s">
        <v>160</v>
      </c>
      <c r="M88" s="143" t="s">
        <v>44</v>
      </c>
      <c r="N88" s="143" t="s">
        <v>58</v>
      </c>
      <c r="O88" s="148"/>
    </row>
    <row r="89" spans="1:15" s="3" customFormat="1" ht="15">
      <c r="A89" s="143" t="s">
        <v>379</v>
      </c>
      <c r="B89" s="143" t="s">
        <v>378</v>
      </c>
      <c r="C89" s="146">
        <v>1</v>
      </c>
      <c r="D89" s="146">
        <v>1.29</v>
      </c>
      <c r="E89" s="146">
        <v>1.3280000000000001</v>
      </c>
      <c r="F89" s="146">
        <v>1.3280000000000001</v>
      </c>
      <c r="G89" s="146">
        <v>1.2549999999999999</v>
      </c>
      <c r="H89" s="146">
        <v>1.3560000000000001</v>
      </c>
      <c r="I89" s="146">
        <v>0.752</v>
      </c>
      <c r="J89" s="147">
        <f>0.0263074484944533*100</f>
        <v>2.63074484944533</v>
      </c>
      <c r="K89" s="143">
        <v>4</v>
      </c>
      <c r="L89" s="143" t="s">
        <v>435</v>
      </c>
      <c r="M89" s="143" t="s">
        <v>26</v>
      </c>
      <c r="N89" s="143" t="s">
        <v>58</v>
      </c>
      <c r="O89" s="148"/>
    </row>
    <row r="90" spans="1:15" s="3" customFormat="1" ht="15">
      <c r="A90" s="206" t="s">
        <v>502</v>
      </c>
      <c r="B90" s="143" t="s">
        <v>503</v>
      </c>
      <c r="C90" s="146">
        <v>0.5</v>
      </c>
      <c r="D90" s="146">
        <v>0.5</v>
      </c>
      <c r="E90" s="146">
        <v>0.5</v>
      </c>
      <c r="F90" s="146">
        <v>0.5</v>
      </c>
      <c r="G90" s="146">
        <v>0.5</v>
      </c>
      <c r="H90" s="146">
        <v>0.5</v>
      </c>
      <c r="I90" s="146">
        <v>0.5</v>
      </c>
      <c r="J90" s="147">
        <v>0</v>
      </c>
      <c r="K90" s="143">
        <v>2</v>
      </c>
      <c r="L90" s="143" t="s">
        <v>160</v>
      </c>
      <c r="M90" s="143" t="s">
        <v>41</v>
      </c>
      <c r="N90" s="143" t="s">
        <v>58</v>
      </c>
      <c r="O90" s="148"/>
    </row>
    <row r="91" spans="1:15" s="3" customFormat="1" ht="15">
      <c r="A91" s="143" t="s">
        <v>377</v>
      </c>
      <c r="B91" s="143" t="s">
        <v>163</v>
      </c>
      <c r="C91" s="146">
        <v>3.9E-2</v>
      </c>
      <c r="D91" s="146">
        <v>0.04</v>
      </c>
      <c r="E91" s="146">
        <v>0.05</v>
      </c>
      <c r="F91" s="146">
        <v>0.05</v>
      </c>
      <c r="G91" s="146">
        <v>0.05</v>
      </c>
      <c r="H91" s="146">
        <v>0.05</v>
      </c>
      <c r="I91" s="146">
        <v>0.05</v>
      </c>
      <c r="J91" s="147">
        <f>0.00355897216883764*100</f>
        <v>0.35589721688376402</v>
      </c>
      <c r="K91" s="143">
        <v>4</v>
      </c>
      <c r="L91" s="143" t="s">
        <v>435</v>
      </c>
      <c r="M91" s="143" t="s">
        <v>164</v>
      </c>
      <c r="N91" s="143" t="s">
        <v>59</v>
      </c>
      <c r="O91" s="148"/>
    </row>
    <row r="92" spans="1:15" s="3" customFormat="1" ht="15">
      <c r="A92" s="170" t="s">
        <v>382</v>
      </c>
      <c r="B92" s="143" t="s">
        <v>499</v>
      </c>
      <c r="C92" s="146">
        <v>0.443</v>
      </c>
      <c r="D92" s="146">
        <v>0.3</v>
      </c>
      <c r="E92" s="146">
        <v>0.3</v>
      </c>
      <c r="F92" s="146">
        <v>0.3</v>
      </c>
      <c r="G92" s="146">
        <v>0.3</v>
      </c>
      <c r="H92" s="146">
        <v>0.3</v>
      </c>
      <c r="I92" s="146">
        <v>0.3</v>
      </c>
      <c r="J92" s="147">
        <f>0.00594294770206022*100</f>
        <v>0.59429477020602206</v>
      </c>
      <c r="K92" s="143">
        <v>4</v>
      </c>
      <c r="L92" s="143" t="s">
        <v>435</v>
      </c>
      <c r="M92" s="143" t="s">
        <v>166</v>
      </c>
      <c r="N92" s="143" t="s">
        <v>59</v>
      </c>
      <c r="O92" s="148"/>
    </row>
    <row r="93" spans="1:15" s="3" customFormat="1" ht="15">
      <c r="A93" s="206" t="s">
        <v>501</v>
      </c>
      <c r="B93" s="143" t="s">
        <v>500</v>
      </c>
      <c r="C93" s="146">
        <v>0.2</v>
      </c>
      <c r="D93" s="146">
        <v>0.6</v>
      </c>
      <c r="E93" s="146">
        <v>0</v>
      </c>
      <c r="F93" s="146">
        <v>0</v>
      </c>
      <c r="G93" s="146">
        <v>0</v>
      </c>
      <c r="H93" s="146">
        <v>0</v>
      </c>
      <c r="I93" s="146">
        <v>0</v>
      </c>
      <c r="J93" s="147">
        <v>0</v>
      </c>
      <c r="K93" s="143">
        <v>4</v>
      </c>
      <c r="L93" s="143" t="s">
        <v>435</v>
      </c>
      <c r="M93" s="143" t="s">
        <v>100</v>
      </c>
      <c r="N93" s="143" t="s">
        <v>59</v>
      </c>
      <c r="O93" s="148"/>
    </row>
    <row r="94" spans="1:15" s="3" customFormat="1" ht="15">
      <c r="A94" s="143" t="s">
        <v>175</v>
      </c>
      <c r="B94" s="143" t="s">
        <v>176</v>
      </c>
      <c r="C94" s="146">
        <v>0.17499999999999999</v>
      </c>
      <c r="D94" s="146">
        <v>0.41299999999999998</v>
      </c>
      <c r="E94" s="146">
        <v>0.25</v>
      </c>
      <c r="F94" s="146">
        <v>0.25</v>
      </c>
      <c r="G94" s="146">
        <v>0.25</v>
      </c>
      <c r="H94" s="146">
        <v>0.25</v>
      </c>
      <c r="I94" s="146">
        <v>0.25</v>
      </c>
      <c r="J94" s="147">
        <v>0</v>
      </c>
      <c r="K94" s="143">
        <v>4</v>
      </c>
      <c r="L94" s="143" t="s">
        <v>435</v>
      </c>
      <c r="M94" s="143" t="s">
        <v>9</v>
      </c>
      <c r="N94" s="143" t="s">
        <v>59</v>
      </c>
      <c r="O94" s="148"/>
    </row>
    <row r="95" spans="1:15" s="3" customFormat="1" ht="15">
      <c r="A95" s="143" t="s">
        <v>175</v>
      </c>
      <c r="B95" s="143" t="s">
        <v>385</v>
      </c>
      <c r="C95" s="146">
        <v>0.4</v>
      </c>
      <c r="D95" s="146">
        <v>0.4</v>
      </c>
      <c r="E95" s="146">
        <v>0.4</v>
      </c>
      <c r="F95" s="146">
        <v>0.4</v>
      </c>
      <c r="G95" s="146">
        <v>0.4</v>
      </c>
      <c r="H95" s="146">
        <v>0.4</v>
      </c>
      <c r="I95" s="146">
        <v>0.4</v>
      </c>
      <c r="J95" s="147">
        <v>7.0458260526464089E-2</v>
      </c>
      <c r="K95" s="143">
        <v>4</v>
      </c>
      <c r="L95" s="143" t="s">
        <v>435</v>
      </c>
      <c r="M95" s="143" t="s">
        <v>168</v>
      </c>
      <c r="N95" s="143" t="s">
        <v>59</v>
      </c>
      <c r="O95" s="148"/>
    </row>
    <row r="96" spans="1:15" s="3" customFormat="1" ht="15">
      <c r="A96" s="143" t="s">
        <v>175</v>
      </c>
      <c r="B96" s="143" t="s">
        <v>178</v>
      </c>
      <c r="C96" s="146">
        <v>3.2970000000000002</v>
      </c>
      <c r="D96" s="146">
        <v>3.125</v>
      </c>
      <c r="E96" s="146">
        <v>3.4</v>
      </c>
      <c r="F96" s="146">
        <v>3.4</v>
      </c>
      <c r="G96" s="146">
        <v>3.4</v>
      </c>
      <c r="H96" s="146">
        <v>3.4</v>
      </c>
      <c r="I96" s="146">
        <v>3.4</v>
      </c>
      <c r="J96" s="147">
        <v>0.59889521447494498</v>
      </c>
      <c r="K96" s="143">
        <v>4</v>
      </c>
      <c r="L96" s="143" t="s">
        <v>435</v>
      </c>
      <c r="M96" s="143" t="s">
        <v>9</v>
      </c>
      <c r="N96" s="143" t="s">
        <v>59</v>
      </c>
      <c r="O96" s="148"/>
    </row>
    <row r="97" spans="1:22" s="3" customFormat="1" ht="15">
      <c r="A97" s="143" t="s">
        <v>386</v>
      </c>
      <c r="B97" s="143" t="s">
        <v>177</v>
      </c>
      <c r="C97" s="146">
        <v>3.3479999999999999</v>
      </c>
      <c r="D97" s="146">
        <v>3.01</v>
      </c>
      <c r="E97" s="146">
        <v>3.02</v>
      </c>
      <c r="F97" s="146">
        <v>3.22</v>
      </c>
      <c r="G97" s="146">
        <v>3.22</v>
      </c>
      <c r="H97" s="146">
        <v>3.22</v>
      </c>
      <c r="I97" s="146">
        <v>3.22</v>
      </c>
      <c r="J97" s="147">
        <v>1.5001374349513401</v>
      </c>
      <c r="K97" s="143">
        <v>4</v>
      </c>
      <c r="L97" s="143" t="s">
        <v>435</v>
      </c>
      <c r="M97" s="143" t="s">
        <v>9</v>
      </c>
      <c r="N97" s="143" t="s">
        <v>59</v>
      </c>
      <c r="O97" s="148"/>
    </row>
    <row r="98" spans="1:22" s="87" customFormat="1" ht="15">
      <c r="A98" s="143" t="s">
        <v>387</v>
      </c>
      <c r="B98" s="143" t="s">
        <v>179</v>
      </c>
      <c r="C98" s="146">
        <v>2.1549999999999998</v>
      </c>
      <c r="D98" s="146">
        <v>2.1819999999999999</v>
      </c>
      <c r="E98" s="146">
        <v>2.1219999999999999</v>
      </c>
      <c r="F98" s="146">
        <v>2.1219999999999999</v>
      </c>
      <c r="G98" s="146">
        <v>2.1219999999999999</v>
      </c>
      <c r="H98" s="146">
        <v>2.1219999999999999</v>
      </c>
      <c r="I98" s="146">
        <v>2.1219999999999999</v>
      </c>
      <c r="J98" s="147">
        <f>0.037753976443796*100</f>
        <v>3.7753976443796002</v>
      </c>
      <c r="K98" s="143">
        <v>4</v>
      </c>
      <c r="L98" s="143" t="s">
        <v>435</v>
      </c>
      <c r="M98" s="143" t="s">
        <v>180</v>
      </c>
      <c r="N98" s="143" t="s">
        <v>59</v>
      </c>
      <c r="O98" s="148"/>
      <c r="P98" s="149"/>
      <c r="Q98" s="149"/>
      <c r="R98" s="149"/>
      <c r="S98" s="149"/>
      <c r="T98" s="149"/>
      <c r="U98" s="149"/>
      <c r="V98" s="149"/>
    </row>
    <row r="99" spans="1:22" s="87" customFormat="1" ht="15">
      <c r="A99" s="143" t="s">
        <v>388</v>
      </c>
      <c r="B99" s="143" t="s">
        <v>508</v>
      </c>
      <c r="C99" s="146">
        <v>1.25</v>
      </c>
      <c r="D99" s="146">
        <v>1.3049999999999999</v>
      </c>
      <c r="E99" s="146">
        <v>1.06</v>
      </c>
      <c r="F99" s="146">
        <v>0.96</v>
      </c>
      <c r="G99" s="146">
        <v>0.64999999999999991</v>
      </c>
      <c r="H99" s="146">
        <v>0.64999999999999991</v>
      </c>
      <c r="I99" s="146">
        <v>0.3</v>
      </c>
      <c r="J99" s="147">
        <f>0.00197511356903022*100</f>
        <v>0.19751135690302202</v>
      </c>
      <c r="K99" s="143">
        <v>4</v>
      </c>
      <c r="L99" s="143" t="s">
        <v>435</v>
      </c>
      <c r="M99" s="143" t="s">
        <v>180</v>
      </c>
      <c r="N99" s="143" t="s">
        <v>59</v>
      </c>
      <c r="O99" s="148"/>
      <c r="P99" s="149"/>
      <c r="Q99" s="149"/>
      <c r="R99" s="149"/>
      <c r="S99" s="149"/>
      <c r="T99" s="149"/>
      <c r="U99" s="149"/>
      <c r="V99" s="149"/>
    </row>
    <row r="100" spans="1:22" s="87" customFormat="1" ht="15">
      <c r="A100" s="143" t="s">
        <v>388</v>
      </c>
      <c r="B100" s="143" t="s">
        <v>507</v>
      </c>
      <c r="C100" s="146">
        <v>8.1370000000000005</v>
      </c>
      <c r="D100" s="146">
        <v>10.201000000000001</v>
      </c>
      <c r="E100" s="146">
        <v>12.997</v>
      </c>
      <c r="F100" s="146">
        <v>0.77100000000000002</v>
      </c>
      <c r="G100" s="146">
        <v>1.0209999999999999</v>
      </c>
      <c r="H100" s="146">
        <v>1.0310000000000001</v>
      </c>
      <c r="I100" s="146">
        <v>0.60099999999999998</v>
      </c>
      <c r="J100" s="147">
        <f>0.0242175009968734*100</f>
        <v>2.42175009968734</v>
      </c>
      <c r="K100" s="143">
        <v>4</v>
      </c>
      <c r="L100" s="143" t="s">
        <v>435</v>
      </c>
      <c r="M100" s="143" t="s">
        <v>489</v>
      </c>
      <c r="N100" s="143" t="s">
        <v>59</v>
      </c>
      <c r="O100" s="148"/>
      <c r="P100" s="149"/>
      <c r="Q100" s="149"/>
      <c r="R100" s="149"/>
      <c r="S100" s="149"/>
      <c r="T100" s="149"/>
      <c r="U100" s="149"/>
      <c r="V100" s="149"/>
    </row>
    <row r="101" spans="1:22" s="87" customFormat="1" ht="15">
      <c r="A101" s="4" t="s">
        <v>510</v>
      </c>
      <c r="B101" s="4" t="s">
        <v>509</v>
      </c>
      <c r="C101" s="5">
        <v>2.84</v>
      </c>
      <c r="D101" s="4">
        <v>2.3479999999999999</v>
      </c>
      <c r="E101" s="4">
        <v>1.6950000000000001</v>
      </c>
      <c r="F101" s="5">
        <v>2.6</v>
      </c>
      <c r="G101" s="5">
        <v>2.6</v>
      </c>
      <c r="H101" s="5">
        <v>3.2</v>
      </c>
      <c r="I101" s="4">
        <v>0.115</v>
      </c>
      <c r="J101" s="147">
        <f>0.00315831839576059*100</f>
        <v>0.31583183957605898</v>
      </c>
      <c r="K101" s="4">
        <v>4</v>
      </c>
      <c r="L101" s="143" t="s">
        <v>435</v>
      </c>
      <c r="M101" s="143" t="s">
        <v>489</v>
      </c>
      <c r="N101" s="143" t="s">
        <v>59</v>
      </c>
      <c r="O101" s="13"/>
      <c r="P101" s="149"/>
      <c r="Q101" s="149"/>
      <c r="R101" s="149"/>
      <c r="S101" s="149"/>
      <c r="T101" s="149"/>
      <c r="U101" s="149"/>
      <c r="V101" s="149"/>
    </row>
    <row r="102" spans="1:22" s="87" customFormat="1" ht="15">
      <c r="A102" s="4" t="s">
        <v>511</v>
      </c>
      <c r="B102" s="4" t="s">
        <v>512</v>
      </c>
      <c r="C102" s="5">
        <v>0</v>
      </c>
      <c r="D102" s="4">
        <v>0.56499999999999995</v>
      </c>
      <c r="E102" s="4">
        <v>0.69499999999999995</v>
      </c>
      <c r="F102" s="4">
        <v>0.69499999999999995</v>
      </c>
      <c r="G102" s="4">
        <v>0.69499999999999995</v>
      </c>
      <c r="H102" s="4">
        <v>0.69499999999999995</v>
      </c>
      <c r="I102" s="5">
        <v>0</v>
      </c>
      <c r="J102" s="147">
        <v>0</v>
      </c>
      <c r="K102" s="4">
        <v>4</v>
      </c>
      <c r="L102" s="143" t="s">
        <v>435</v>
      </c>
      <c r="M102" s="143" t="s">
        <v>489</v>
      </c>
      <c r="N102" s="143" t="s">
        <v>59</v>
      </c>
      <c r="O102" s="13"/>
      <c r="P102" s="149"/>
      <c r="Q102" s="149"/>
      <c r="R102" s="149"/>
      <c r="S102" s="149"/>
      <c r="T102" s="149"/>
      <c r="U102" s="149"/>
      <c r="V102" s="149"/>
    </row>
    <row r="103" spans="1:22" s="87" customFormat="1" ht="15">
      <c r="A103" s="170">
        <v>1213</v>
      </c>
      <c r="B103" s="143" t="s">
        <v>425</v>
      </c>
      <c r="C103" s="146">
        <v>2.2999999999999998</v>
      </c>
      <c r="D103" s="146">
        <v>0</v>
      </c>
      <c r="E103" s="146">
        <v>0</v>
      </c>
      <c r="F103" s="146">
        <v>0</v>
      </c>
      <c r="G103" s="146">
        <v>0</v>
      </c>
      <c r="H103" s="146">
        <v>0</v>
      </c>
      <c r="I103" s="146">
        <v>0</v>
      </c>
      <c r="J103" s="147">
        <v>0</v>
      </c>
      <c r="K103" s="143">
        <v>2</v>
      </c>
      <c r="L103" s="143" t="s">
        <v>160</v>
      </c>
      <c r="M103" s="143" t="s">
        <v>426</v>
      </c>
      <c r="N103" s="143" t="s">
        <v>59</v>
      </c>
      <c r="O103" s="148"/>
      <c r="P103" s="149"/>
      <c r="Q103" s="149"/>
      <c r="R103" s="149"/>
      <c r="S103" s="149"/>
      <c r="T103" s="149"/>
      <c r="U103" s="149"/>
      <c r="V103" s="149"/>
    </row>
    <row r="104" spans="1:22" s="3" customFormat="1" ht="15">
      <c r="A104" s="87"/>
      <c r="B104" s="3" t="s">
        <v>112</v>
      </c>
      <c r="C104" s="12">
        <f>SUM(C75:C103)</f>
        <v>70.566999999999993</v>
      </c>
      <c r="D104" s="12">
        <f t="shared" ref="D104:I104" si="6">SUM(D75:D103)</f>
        <v>70.936999999999998</v>
      </c>
      <c r="E104" s="12">
        <f t="shared" si="6"/>
        <v>69.131</v>
      </c>
      <c r="F104" s="12">
        <f t="shared" si="6"/>
        <v>56.354999999999997</v>
      </c>
      <c r="G104" s="12">
        <f t="shared" si="6"/>
        <v>56.202999999999989</v>
      </c>
      <c r="H104" s="12">
        <f t="shared" si="6"/>
        <v>57.011999999999986</v>
      </c>
      <c r="I104" s="12">
        <f t="shared" si="6"/>
        <v>51.852999999999994</v>
      </c>
      <c r="L104" s="1"/>
      <c r="O104" s="72"/>
    </row>
    <row r="105" spans="1:22" s="3" customFormat="1" ht="15">
      <c r="A105" s="1"/>
      <c r="B105" s="1"/>
      <c r="C105" s="59"/>
      <c r="D105" s="59"/>
      <c r="E105" s="59"/>
      <c r="F105" s="59"/>
      <c r="G105" s="59"/>
      <c r="H105" s="59"/>
      <c r="I105" s="59"/>
      <c r="J105" s="1"/>
      <c r="K105" s="1"/>
      <c r="L105" s="1"/>
      <c r="M105" s="1"/>
      <c r="N105" s="1"/>
      <c r="O105" s="71"/>
    </row>
    <row r="106" spans="1:22" s="3" customFormat="1" ht="15">
      <c r="A106" s="16"/>
      <c r="B106" s="15" t="s">
        <v>2</v>
      </c>
      <c r="C106" s="64"/>
      <c r="D106" s="64"/>
      <c r="E106" s="64"/>
      <c r="F106" s="64"/>
      <c r="G106" s="64"/>
      <c r="H106" s="64"/>
      <c r="I106" s="64"/>
      <c r="J106" s="16"/>
      <c r="K106" s="16"/>
      <c r="L106" s="17"/>
      <c r="M106" s="16"/>
      <c r="N106" s="16"/>
      <c r="O106" s="16"/>
    </row>
    <row r="107" spans="1:22" s="3" customFormat="1" ht="15">
      <c r="A107" s="87" t="s">
        <v>468</v>
      </c>
      <c r="B107" s="3" t="s">
        <v>3</v>
      </c>
      <c r="C107" s="256"/>
      <c r="D107" s="256"/>
      <c r="E107" s="256"/>
      <c r="F107" s="256"/>
      <c r="G107" s="256"/>
      <c r="H107" s="256"/>
      <c r="I107" s="256"/>
      <c r="J107"/>
      <c r="L107" s="1"/>
      <c r="O107" s="72"/>
    </row>
    <row r="108" spans="1:22" s="3" customFormat="1" ht="15">
      <c r="A108" s="144" t="s">
        <v>495</v>
      </c>
      <c r="B108" s="7" t="s">
        <v>6</v>
      </c>
      <c r="C108" s="68">
        <f>0.756+0.159</f>
        <v>0.91500000000000004</v>
      </c>
      <c r="D108" s="68">
        <f>0.996+0.14</f>
        <v>1.1360000000000001</v>
      </c>
      <c r="E108" s="68">
        <f>0.992+0.14</f>
        <v>1.1320000000000001</v>
      </c>
      <c r="F108" s="68">
        <f>0.956+0.14</f>
        <v>1.0960000000000001</v>
      </c>
      <c r="G108" s="68">
        <f>1.173+0.14</f>
        <v>1.3130000000000002</v>
      </c>
      <c r="H108" s="68">
        <f>0.952+0.14</f>
        <v>1.0920000000000001</v>
      </c>
      <c r="I108" s="68">
        <f>1.172+0.14</f>
        <v>1.3119999999999998</v>
      </c>
      <c r="J108" s="10">
        <v>20</v>
      </c>
      <c r="K108" s="10">
        <v>4</v>
      </c>
      <c r="L108" s="143" t="s">
        <v>435</v>
      </c>
      <c r="M108" s="10" t="s">
        <v>7</v>
      </c>
      <c r="N108" s="10" t="s">
        <v>58</v>
      </c>
      <c r="O108" s="73"/>
    </row>
    <row r="109" spans="1:22" s="3" customFormat="1" ht="15">
      <c r="A109" s="144" t="s">
        <v>496</v>
      </c>
      <c r="B109" s="7" t="s">
        <v>8</v>
      </c>
      <c r="C109" s="68">
        <v>3.5670000000000002</v>
      </c>
      <c r="D109" s="68">
        <v>2.4722499999999998</v>
      </c>
      <c r="E109" s="68">
        <v>2.3645</v>
      </c>
      <c r="F109" s="68">
        <v>2.24275</v>
      </c>
      <c r="G109" s="68">
        <v>2.24275</v>
      </c>
      <c r="H109" s="68">
        <v>2.24275</v>
      </c>
      <c r="I109" s="68">
        <v>2.24275</v>
      </c>
      <c r="J109" s="10">
        <v>25</v>
      </c>
      <c r="K109" s="10">
        <v>6</v>
      </c>
      <c r="L109" s="10" t="s">
        <v>224</v>
      </c>
      <c r="M109" s="10" t="s">
        <v>9</v>
      </c>
      <c r="N109" s="10" t="s">
        <v>58</v>
      </c>
      <c r="O109" s="73"/>
    </row>
    <row r="110" spans="1:22" s="3" customFormat="1" ht="15">
      <c r="A110" s="144" t="s">
        <v>496</v>
      </c>
      <c r="B110" s="7" t="s">
        <v>10</v>
      </c>
      <c r="C110" s="68">
        <v>7.5714499999999996</v>
      </c>
      <c r="D110" s="68">
        <v>7.4372999999999996</v>
      </c>
      <c r="E110" s="68">
        <v>7.06785</v>
      </c>
      <c r="F110" s="68">
        <v>6.7869999999999999</v>
      </c>
      <c r="G110" s="68">
        <v>6.7862499999999999</v>
      </c>
      <c r="H110" s="68">
        <v>6.7862499999999999</v>
      </c>
      <c r="I110" s="68">
        <v>6.7862499999999999</v>
      </c>
      <c r="J110" s="10">
        <v>5</v>
      </c>
      <c r="K110" s="10">
        <v>11</v>
      </c>
      <c r="L110" s="143" t="s">
        <v>88</v>
      </c>
      <c r="M110" s="10" t="s">
        <v>11</v>
      </c>
      <c r="N110" s="10" t="s">
        <v>58</v>
      </c>
      <c r="O110" s="73"/>
    </row>
    <row r="111" spans="1:22" s="3" customFormat="1" ht="15">
      <c r="A111" s="144" t="s">
        <v>495</v>
      </c>
      <c r="B111" s="7" t="s">
        <v>4</v>
      </c>
      <c r="C111" s="68">
        <f>0.5+0.727</f>
        <v>1.2269999999999999</v>
      </c>
      <c r="D111" s="68">
        <f>0.5+0.547</f>
        <v>1.0470000000000002</v>
      </c>
      <c r="E111" s="68">
        <f>0.5+0.532</f>
        <v>1.032</v>
      </c>
      <c r="F111" s="68">
        <f>0.5+0.532</f>
        <v>1.032</v>
      </c>
      <c r="G111" s="68">
        <f>0.5+0.592</f>
        <v>1.0920000000000001</v>
      </c>
      <c r="H111" s="68">
        <f>0.5+0.592</f>
        <v>1.0920000000000001</v>
      </c>
      <c r="I111" s="68">
        <f>0.5+0.592</f>
        <v>1.0920000000000001</v>
      </c>
      <c r="J111" s="10">
        <v>100</v>
      </c>
      <c r="K111" s="10">
        <v>6</v>
      </c>
      <c r="L111" s="10" t="s">
        <v>224</v>
      </c>
      <c r="M111" s="10" t="s">
        <v>5</v>
      </c>
      <c r="N111" s="10" t="s">
        <v>59</v>
      </c>
      <c r="O111" s="73"/>
    </row>
    <row r="112" spans="1:22" s="3" customFormat="1" ht="15">
      <c r="A112" s="192" t="s">
        <v>469</v>
      </c>
      <c r="B112" s="149" t="s">
        <v>471</v>
      </c>
      <c r="C112" s="256"/>
      <c r="D112" s="256"/>
      <c r="E112" s="256"/>
      <c r="F112" s="256"/>
      <c r="G112" s="256"/>
      <c r="H112" s="256"/>
      <c r="I112" s="256"/>
      <c r="J112"/>
      <c r="L112" s="1"/>
      <c r="O112" s="72"/>
    </row>
    <row r="113" spans="1:15" s="3" customFormat="1" ht="15">
      <c r="A113" s="7" t="s">
        <v>18</v>
      </c>
      <c r="B113" s="7" t="s">
        <v>68</v>
      </c>
      <c r="C113" s="120">
        <v>0.25</v>
      </c>
      <c r="D113" s="120">
        <v>0.253</v>
      </c>
      <c r="E113" s="120">
        <v>0.253</v>
      </c>
      <c r="F113" s="120">
        <v>0.253</v>
      </c>
      <c r="G113" s="120">
        <v>0.253</v>
      </c>
      <c r="H113" s="120">
        <v>0.253</v>
      </c>
      <c r="I113" s="120">
        <v>0.253</v>
      </c>
      <c r="J113" s="7">
        <v>100</v>
      </c>
      <c r="K113" s="7">
        <v>4</v>
      </c>
      <c r="L113" s="143" t="s">
        <v>435</v>
      </c>
      <c r="M113" s="7" t="s">
        <v>19</v>
      </c>
      <c r="N113" s="7" t="s">
        <v>58</v>
      </c>
      <c r="O113" s="7"/>
    </row>
    <row r="114" spans="1:15" s="3" customFormat="1" ht="15">
      <c r="A114" s="7" t="s">
        <v>18</v>
      </c>
      <c r="B114" s="7" t="s">
        <v>69</v>
      </c>
      <c r="C114" s="120">
        <v>0.217</v>
      </c>
      <c r="D114" s="120">
        <v>0.18099999999999999</v>
      </c>
      <c r="E114" s="120">
        <v>0.17199999999999999</v>
      </c>
      <c r="F114" s="120">
        <v>0.16300000000000001</v>
      </c>
      <c r="G114" s="120">
        <v>0.154</v>
      </c>
      <c r="H114" s="120">
        <v>0.154</v>
      </c>
      <c r="I114" s="120">
        <v>0.154</v>
      </c>
      <c r="J114" s="7">
        <v>100</v>
      </c>
      <c r="K114" s="7">
        <v>11</v>
      </c>
      <c r="L114" s="143" t="s">
        <v>88</v>
      </c>
      <c r="M114" s="7" t="s">
        <v>9</v>
      </c>
      <c r="N114" s="10" t="s">
        <v>58</v>
      </c>
      <c r="O114" s="7"/>
    </row>
    <row r="115" spans="1:15" s="3" customFormat="1" ht="15">
      <c r="A115" s="7" t="s">
        <v>18</v>
      </c>
      <c r="B115" s="7" t="s">
        <v>70</v>
      </c>
      <c r="C115" s="120">
        <v>121.747</v>
      </c>
      <c r="D115" s="120">
        <v>137.95400000000001</v>
      </c>
      <c r="E115" s="120">
        <v>131.36099999999999</v>
      </c>
      <c r="F115" s="120">
        <v>125.444</v>
      </c>
      <c r="G115" s="120">
        <v>125.444</v>
      </c>
      <c r="H115" s="120">
        <v>125.444</v>
      </c>
      <c r="I115" s="120">
        <v>125.444</v>
      </c>
      <c r="J115" s="7">
        <v>100</v>
      </c>
      <c r="K115" s="7">
        <v>6</v>
      </c>
      <c r="L115" s="10" t="s">
        <v>224</v>
      </c>
      <c r="M115" s="7" t="s">
        <v>22</v>
      </c>
      <c r="N115" s="7" t="s">
        <v>58</v>
      </c>
      <c r="O115" s="7"/>
    </row>
    <row r="116" spans="1:15" s="3" customFormat="1" ht="15">
      <c r="A116" s="7" t="s">
        <v>24</v>
      </c>
      <c r="B116" s="7" t="s">
        <v>73</v>
      </c>
      <c r="C116" s="120">
        <v>4.3090000000000002</v>
      </c>
      <c r="D116" s="120">
        <v>3.8370000000000002</v>
      </c>
      <c r="E116" s="120">
        <v>3.27</v>
      </c>
      <c r="F116" s="120">
        <v>3.2509999999999999</v>
      </c>
      <c r="G116" s="120">
        <v>3.2509999999999999</v>
      </c>
      <c r="H116" s="120">
        <v>3.2509999999999999</v>
      </c>
      <c r="I116" s="120">
        <v>3.2509999999999999</v>
      </c>
      <c r="J116" s="7">
        <v>100</v>
      </c>
      <c r="K116" s="7">
        <v>4</v>
      </c>
      <c r="L116" s="143" t="s">
        <v>435</v>
      </c>
      <c r="M116" s="7" t="s">
        <v>9</v>
      </c>
      <c r="N116" s="7" t="s">
        <v>58</v>
      </c>
      <c r="O116" s="7"/>
    </row>
    <row r="117" spans="1:15" s="3" customFormat="1" ht="15">
      <c r="A117" s="7" t="s">
        <v>24</v>
      </c>
      <c r="B117" s="7" t="s">
        <v>74</v>
      </c>
      <c r="C117" s="120">
        <v>10.877000000000001</v>
      </c>
      <c r="D117" s="120">
        <v>9.5879999999999992</v>
      </c>
      <c r="E117" s="120">
        <v>9.391</v>
      </c>
      <c r="F117" s="120">
        <v>9.3379999999999992</v>
      </c>
      <c r="G117" s="120">
        <v>9.3379999999999992</v>
      </c>
      <c r="H117" s="120">
        <v>9.3379999999999992</v>
      </c>
      <c r="I117" s="120">
        <v>9.3379999999999992</v>
      </c>
      <c r="J117" s="7">
        <v>100</v>
      </c>
      <c r="K117" s="7">
        <v>4</v>
      </c>
      <c r="L117" s="143" t="s">
        <v>435</v>
      </c>
      <c r="M117" s="7" t="s">
        <v>9</v>
      </c>
      <c r="N117" s="7" t="s">
        <v>58</v>
      </c>
      <c r="O117" s="7"/>
    </row>
    <row r="118" spans="1:15" s="3" customFormat="1" ht="15">
      <c r="A118" s="7" t="s">
        <v>24</v>
      </c>
      <c r="B118" s="7" t="s">
        <v>75</v>
      </c>
      <c r="C118" s="120">
        <v>29.402999999999999</v>
      </c>
      <c r="D118" s="120">
        <v>20.201000000000001</v>
      </c>
      <c r="E118" s="120">
        <v>19.084</v>
      </c>
      <c r="F118" s="120">
        <v>18.241</v>
      </c>
      <c r="G118" s="120">
        <v>18.241</v>
      </c>
      <c r="H118" s="120">
        <v>18.241</v>
      </c>
      <c r="I118" s="120">
        <v>18.241</v>
      </c>
      <c r="J118" s="7">
        <v>100</v>
      </c>
      <c r="K118" s="7">
        <v>3</v>
      </c>
      <c r="L118" s="7" t="s">
        <v>132</v>
      </c>
      <c r="M118" s="7" t="s">
        <v>9</v>
      </c>
      <c r="N118" s="10" t="s">
        <v>58</v>
      </c>
      <c r="O118" s="7"/>
    </row>
    <row r="119" spans="1:15" s="3" customFormat="1" ht="15">
      <c r="A119" s="7" t="s">
        <v>25</v>
      </c>
      <c r="B119" s="7" t="s">
        <v>76</v>
      </c>
      <c r="C119" s="120">
        <v>20.776</v>
      </c>
      <c r="D119" s="120">
        <v>21.206</v>
      </c>
      <c r="E119" s="120">
        <v>20.225999999999999</v>
      </c>
      <c r="F119" s="120">
        <v>24.504000000000001</v>
      </c>
      <c r="G119" s="120">
        <v>22.943000000000001</v>
      </c>
      <c r="H119" s="120">
        <v>23.343</v>
      </c>
      <c r="I119" s="120">
        <v>24.042999999999999</v>
      </c>
      <c r="J119" s="7">
        <v>100</v>
      </c>
      <c r="K119" s="7">
        <v>6</v>
      </c>
      <c r="L119" s="10" t="s">
        <v>224</v>
      </c>
      <c r="M119" s="7" t="s">
        <v>26</v>
      </c>
      <c r="N119" s="10" t="s">
        <v>58</v>
      </c>
      <c r="O119" s="7"/>
    </row>
    <row r="120" spans="1:15" s="1" customFormat="1">
      <c r="A120" s="7" t="s">
        <v>25</v>
      </c>
      <c r="B120" s="7" t="s">
        <v>347</v>
      </c>
      <c r="C120" s="120">
        <v>0</v>
      </c>
      <c r="D120" s="120">
        <v>0.60099999999999998</v>
      </c>
      <c r="E120" s="120">
        <v>0</v>
      </c>
      <c r="F120" s="120">
        <v>0</v>
      </c>
      <c r="G120" s="120">
        <v>1E-3</v>
      </c>
      <c r="H120" s="120">
        <v>8.0000000000000002E-3</v>
      </c>
      <c r="I120" s="120">
        <v>8.0000000000000002E-3</v>
      </c>
      <c r="J120" s="7">
        <v>100</v>
      </c>
      <c r="K120" s="7">
        <v>6.13</v>
      </c>
      <c r="L120" s="7"/>
      <c r="M120" s="7" t="s">
        <v>27</v>
      </c>
      <c r="N120" s="10" t="s">
        <v>58</v>
      </c>
      <c r="O120" s="7"/>
    </row>
    <row r="121" spans="1:15" s="2" customFormat="1" ht="15">
      <c r="A121" s="7" t="s">
        <v>25</v>
      </c>
      <c r="B121" s="7" t="s">
        <v>339</v>
      </c>
      <c r="C121" s="120">
        <v>6.5250000000000004</v>
      </c>
      <c r="D121" s="120">
        <v>2.1930000000000001</v>
      </c>
      <c r="E121" s="120">
        <v>0</v>
      </c>
      <c r="F121" s="120">
        <v>0</v>
      </c>
      <c r="G121" s="120">
        <v>0</v>
      </c>
      <c r="H121" s="120">
        <v>0</v>
      </c>
      <c r="I121" s="120">
        <v>0</v>
      </c>
      <c r="J121" s="7">
        <v>100</v>
      </c>
      <c r="K121" s="7">
        <v>6</v>
      </c>
      <c r="L121" s="10" t="s">
        <v>224</v>
      </c>
      <c r="M121" s="7" t="s">
        <v>9</v>
      </c>
      <c r="N121" s="10" t="s">
        <v>58</v>
      </c>
      <c r="O121" s="7"/>
    </row>
    <row r="122" spans="1:15" s="3" customFormat="1" ht="15">
      <c r="A122" s="7" t="s">
        <v>12</v>
      </c>
      <c r="B122" s="7" t="s">
        <v>65</v>
      </c>
      <c r="C122" s="120">
        <v>0.44800000000000001</v>
      </c>
      <c r="D122" s="120">
        <v>0</v>
      </c>
      <c r="E122" s="120">
        <v>0</v>
      </c>
      <c r="F122" s="120">
        <v>0</v>
      </c>
      <c r="G122" s="120">
        <v>0</v>
      </c>
      <c r="H122" s="120">
        <v>0</v>
      </c>
      <c r="I122" s="120">
        <v>0</v>
      </c>
      <c r="J122" s="7">
        <v>100</v>
      </c>
      <c r="K122" s="7">
        <v>3</v>
      </c>
      <c r="L122" s="7" t="s">
        <v>132</v>
      </c>
      <c r="M122" s="7" t="s">
        <v>13</v>
      </c>
      <c r="N122" s="10" t="s">
        <v>59</v>
      </c>
      <c r="O122" s="73"/>
    </row>
    <row r="123" spans="1:15">
      <c r="A123" s="7" t="s">
        <v>12</v>
      </c>
      <c r="B123" s="7" t="s">
        <v>65</v>
      </c>
      <c r="C123" s="120">
        <f>2.68+0.383</f>
        <v>3.0630000000000002</v>
      </c>
      <c r="D123" s="120">
        <v>3.0190000000000001</v>
      </c>
      <c r="E123" s="120">
        <v>2.5169999999999999</v>
      </c>
      <c r="F123" s="120">
        <v>0</v>
      </c>
      <c r="G123" s="120">
        <v>0</v>
      </c>
      <c r="H123" s="120">
        <v>0</v>
      </c>
      <c r="I123" s="120">
        <v>0</v>
      </c>
      <c r="J123" s="7">
        <v>100</v>
      </c>
      <c r="K123" s="7">
        <v>6</v>
      </c>
      <c r="L123" s="10" t="s">
        <v>224</v>
      </c>
      <c r="M123" s="7" t="s">
        <v>14</v>
      </c>
      <c r="N123" s="10" t="s">
        <v>59</v>
      </c>
      <c r="O123" s="73"/>
    </row>
    <row r="124" spans="1:15">
      <c r="A124" s="7" t="s">
        <v>55</v>
      </c>
      <c r="B124" s="7" t="s">
        <v>333</v>
      </c>
      <c r="C124" s="120">
        <v>19.0197</v>
      </c>
      <c r="D124" s="120">
        <v>30.7791</v>
      </c>
      <c r="E124" s="120">
        <v>28.138500000000001</v>
      </c>
      <c r="F124" s="120">
        <v>26.3826</v>
      </c>
      <c r="G124" s="120">
        <v>25.6005</v>
      </c>
      <c r="H124" s="120">
        <v>26.017199999999999</v>
      </c>
      <c r="I124" s="120">
        <v>26.017199999999999</v>
      </c>
      <c r="J124" s="7">
        <v>90</v>
      </c>
      <c r="K124" s="7">
        <v>6</v>
      </c>
      <c r="L124" s="10" t="s">
        <v>224</v>
      </c>
      <c r="M124" s="7" t="s">
        <v>17</v>
      </c>
      <c r="N124" s="10" t="s">
        <v>59</v>
      </c>
      <c r="O124" s="73"/>
    </row>
    <row r="125" spans="1:15">
      <c r="A125" s="7" t="s">
        <v>16</v>
      </c>
      <c r="B125" s="7" t="s">
        <v>66</v>
      </c>
      <c r="C125" s="120">
        <v>8.5310000000000006</v>
      </c>
      <c r="D125" s="120">
        <v>13.098000000000001</v>
      </c>
      <c r="E125" s="120">
        <v>15.089</v>
      </c>
      <c r="F125" s="120">
        <v>17.808</v>
      </c>
      <c r="G125" s="120">
        <v>17.957999999999998</v>
      </c>
      <c r="H125" s="120">
        <v>17.957999999999998</v>
      </c>
      <c r="I125" s="120">
        <v>17.957999999999998</v>
      </c>
      <c r="J125" s="7">
        <v>100</v>
      </c>
      <c r="K125" s="7">
        <v>6</v>
      </c>
      <c r="L125" s="10" t="s">
        <v>224</v>
      </c>
      <c r="M125" s="7" t="s">
        <v>17</v>
      </c>
      <c r="N125" s="10" t="s">
        <v>59</v>
      </c>
      <c r="O125" s="73"/>
    </row>
    <row r="126" spans="1:15">
      <c r="A126" s="7" t="s">
        <v>18</v>
      </c>
      <c r="B126" s="7" t="s">
        <v>67</v>
      </c>
      <c r="C126" s="120">
        <f>6.456+0.899+0.889+0.256</f>
        <v>8.5</v>
      </c>
      <c r="D126" s="120">
        <f>2.251+0.1</f>
        <v>2.351</v>
      </c>
      <c r="E126" s="120">
        <f>2.465</f>
        <v>2.4649999999999999</v>
      </c>
      <c r="F126" s="120">
        <f>0.494</f>
        <v>0.49399999999999999</v>
      </c>
      <c r="G126" s="120">
        <f>0.494</f>
        <v>0.49399999999999999</v>
      </c>
      <c r="H126" s="120">
        <f>0.494</f>
        <v>0.49399999999999999</v>
      </c>
      <c r="I126" s="120">
        <f>0.494</f>
        <v>0.49399999999999999</v>
      </c>
      <c r="J126" s="7">
        <v>100</v>
      </c>
      <c r="K126" s="7">
        <v>6</v>
      </c>
      <c r="L126" s="10" t="s">
        <v>224</v>
      </c>
      <c r="M126" s="7" t="s">
        <v>21</v>
      </c>
      <c r="N126" s="10" t="s">
        <v>59</v>
      </c>
      <c r="O126" s="7"/>
    </row>
    <row r="127" spans="1:15">
      <c r="A127" s="7" t="s">
        <v>18</v>
      </c>
      <c r="B127" s="7" t="s">
        <v>67</v>
      </c>
      <c r="C127" s="120">
        <v>2.41</v>
      </c>
      <c r="D127" s="120">
        <v>2.3159999999999998</v>
      </c>
      <c r="E127" s="120">
        <v>1.206</v>
      </c>
      <c r="F127" s="120">
        <v>0</v>
      </c>
      <c r="G127" s="120">
        <v>0</v>
      </c>
      <c r="H127" s="120">
        <v>0</v>
      </c>
      <c r="I127" s="120">
        <v>0</v>
      </c>
      <c r="J127" s="7">
        <v>80</v>
      </c>
      <c r="K127" s="7">
        <v>6</v>
      </c>
      <c r="L127" s="10" t="s">
        <v>224</v>
      </c>
      <c r="M127" s="7" t="s">
        <v>14</v>
      </c>
      <c r="N127" s="10" t="s">
        <v>59</v>
      </c>
      <c r="O127" s="7"/>
    </row>
    <row r="128" spans="1:15">
      <c r="A128" s="7" t="s">
        <v>23</v>
      </c>
      <c r="B128" s="7" t="s">
        <v>71</v>
      </c>
      <c r="C128" s="120">
        <v>17.018999999999998</v>
      </c>
      <c r="D128" s="120">
        <v>23.724</v>
      </c>
      <c r="E128" s="120">
        <v>33.771000000000001</v>
      </c>
      <c r="F128" s="120">
        <v>39.798999999999999</v>
      </c>
      <c r="G128" s="120">
        <v>39.798999999999999</v>
      </c>
      <c r="H128" s="120">
        <v>39.798999999999999</v>
      </c>
      <c r="I128" s="120">
        <v>39.798999999999999</v>
      </c>
      <c r="J128" s="7">
        <v>100</v>
      </c>
      <c r="K128" s="7">
        <v>6</v>
      </c>
      <c r="L128" s="10" t="s">
        <v>224</v>
      </c>
      <c r="M128" s="7" t="s">
        <v>17</v>
      </c>
      <c r="N128" s="10" t="s">
        <v>59</v>
      </c>
      <c r="O128" s="7"/>
    </row>
    <row r="129" spans="1:15" s="3" customFormat="1" ht="15">
      <c r="A129" s="7" t="s">
        <v>23</v>
      </c>
      <c r="B129" s="7" t="s">
        <v>72</v>
      </c>
      <c r="C129" s="120">
        <f>1.054+45.566+8.018</f>
        <v>54.638000000000005</v>
      </c>
      <c r="D129" s="120">
        <f>2.334+66.749+6.755</f>
        <v>75.837999999999994</v>
      </c>
      <c r="E129" s="120">
        <f>3.026+94.944+1.426</f>
        <v>99.396000000000001</v>
      </c>
      <c r="F129" s="120">
        <f>4.008+102.234+0.301</f>
        <v>106.54299999999999</v>
      </c>
      <c r="G129" s="120">
        <f>4.008+109.806</f>
        <v>113.81399999999999</v>
      </c>
      <c r="H129" s="120">
        <f>4.008+114.816</f>
        <v>118.824</v>
      </c>
      <c r="I129" s="120">
        <f>4.008+114.816</f>
        <v>118.824</v>
      </c>
      <c r="J129" s="7">
        <v>100</v>
      </c>
      <c r="K129" s="73" t="s">
        <v>20</v>
      </c>
      <c r="L129" s="7"/>
      <c r="M129" s="7" t="s">
        <v>17</v>
      </c>
      <c r="N129" s="10" t="s">
        <v>59</v>
      </c>
      <c r="O129" s="7"/>
    </row>
    <row r="130" spans="1:15">
      <c r="A130" s="7" t="s">
        <v>25</v>
      </c>
      <c r="B130" s="7" t="s">
        <v>337</v>
      </c>
      <c r="C130" s="120">
        <v>4.4779999999999998</v>
      </c>
      <c r="D130" s="120">
        <v>1.28</v>
      </c>
      <c r="E130" s="120">
        <v>0.93100000000000005</v>
      </c>
      <c r="F130" s="120">
        <v>0</v>
      </c>
      <c r="G130" s="120">
        <v>0</v>
      </c>
      <c r="H130" s="120">
        <v>0</v>
      </c>
      <c r="I130" s="120">
        <v>0</v>
      </c>
      <c r="J130" s="7">
        <v>100</v>
      </c>
      <c r="K130" s="7">
        <v>4</v>
      </c>
      <c r="L130" s="143" t="s">
        <v>435</v>
      </c>
      <c r="M130" s="7" t="s">
        <v>9</v>
      </c>
      <c r="N130" s="10" t="s">
        <v>59</v>
      </c>
      <c r="O130" s="7"/>
    </row>
    <row r="131" spans="1:15">
      <c r="A131" s="7" t="s">
        <v>25</v>
      </c>
      <c r="B131" s="7" t="s">
        <v>77</v>
      </c>
      <c r="C131" s="120">
        <f>2.407+0.244+0.486+2.452+26+9.362+3.5+20.29+0.261+0.118+12.722+0.125+11.75+0.525+0.307+1.05</f>
        <v>91.59899999999999</v>
      </c>
      <c r="D131" s="120">
        <f>0.317+0.261+4.699+1.236+0.925+13.544+0.082+0.205+0.009+7.376+0.741</f>
        <v>29.395</v>
      </c>
      <c r="E131" s="120">
        <f>0.073+8.678+1.605+6.177+0.023+0.086</f>
        <v>16.641999999999999</v>
      </c>
      <c r="F131" s="120">
        <f>0.075+0.009</f>
        <v>8.3999999999999991E-2</v>
      </c>
      <c r="G131" s="120">
        <f>0.138+0.01</f>
        <v>0.14800000000000002</v>
      </c>
      <c r="H131" s="120">
        <f>0.163+0.01</f>
        <v>0.17300000000000001</v>
      </c>
      <c r="I131" s="120">
        <f>0.063+0.01</f>
        <v>7.2999999999999995E-2</v>
      </c>
      <c r="J131" s="7">
        <v>100</v>
      </c>
      <c r="K131" s="7">
        <v>6</v>
      </c>
      <c r="L131" s="10" t="s">
        <v>224</v>
      </c>
      <c r="M131" s="7" t="s">
        <v>20</v>
      </c>
      <c r="N131" s="10" t="s">
        <v>59</v>
      </c>
      <c r="O131" s="7"/>
    </row>
    <row r="132" spans="1:15">
      <c r="A132" s="7" t="s">
        <v>25</v>
      </c>
      <c r="B132" s="7" t="s">
        <v>338</v>
      </c>
      <c r="C132" s="120">
        <v>0.27139999999999997</v>
      </c>
      <c r="D132" s="120">
        <v>0.18240000000000001</v>
      </c>
      <c r="E132" s="120">
        <v>4.8000000000000001E-2</v>
      </c>
      <c r="F132" s="120">
        <v>0</v>
      </c>
      <c r="G132" s="120">
        <v>0</v>
      </c>
      <c r="H132" s="120">
        <v>0</v>
      </c>
      <c r="I132" s="120">
        <v>0</v>
      </c>
      <c r="J132" s="7">
        <v>20</v>
      </c>
      <c r="K132" s="7">
        <v>10</v>
      </c>
      <c r="L132" s="143" t="s">
        <v>98</v>
      </c>
      <c r="M132" s="7" t="s">
        <v>29</v>
      </c>
      <c r="N132" s="10" t="s">
        <v>59</v>
      </c>
      <c r="O132" s="73"/>
    </row>
    <row r="133" spans="1:15">
      <c r="A133" s="7" t="s">
        <v>25</v>
      </c>
      <c r="B133" s="7" t="s">
        <v>389</v>
      </c>
      <c r="C133" s="120">
        <v>1.111</v>
      </c>
      <c r="D133" s="120">
        <v>4.7480000000000002</v>
      </c>
      <c r="E133" s="120">
        <v>1.7769999999999999</v>
      </c>
      <c r="F133" s="120">
        <v>1.8280000000000001</v>
      </c>
      <c r="G133" s="120">
        <v>1.367</v>
      </c>
      <c r="H133" s="120">
        <v>0.75600000000000001</v>
      </c>
      <c r="I133" s="120">
        <v>0.48099999999999998</v>
      </c>
      <c r="J133" s="7">
        <v>100</v>
      </c>
      <c r="K133" s="73" t="s">
        <v>390</v>
      </c>
      <c r="L133" s="143"/>
      <c r="M133" s="7" t="s">
        <v>26</v>
      </c>
      <c r="N133" s="10" t="s">
        <v>59</v>
      </c>
      <c r="O133" s="73"/>
    </row>
    <row r="134" spans="1:15">
      <c r="A134" s="7" t="s">
        <v>335</v>
      </c>
      <c r="B134" s="7" t="s">
        <v>78</v>
      </c>
      <c r="C134" s="120">
        <f>0.003+8.71+55.269</f>
        <v>63.981999999999999</v>
      </c>
      <c r="D134" s="120">
        <f>0.073+7.293+70.596</f>
        <v>77.962000000000003</v>
      </c>
      <c r="E134" s="120">
        <f>0.076+3.912+60.778</f>
        <v>64.766000000000005</v>
      </c>
      <c r="F134" s="120">
        <f>13.058+2.394+51.165</f>
        <v>66.617000000000004</v>
      </c>
      <c r="G134" s="120">
        <f>13.063+0.341+53.213</f>
        <v>66.617000000000004</v>
      </c>
      <c r="H134" s="120">
        <f>42.06+0.34+24.362</f>
        <v>66.762</v>
      </c>
      <c r="I134" s="120">
        <f>42.06+0.005+24.362</f>
        <v>66.427000000000007</v>
      </c>
      <c r="J134" s="7">
        <v>100</v>
      </c>
      <c r="K134" s="7">
        <v>3</v>
      </c>
      <c r="L134" s="7" t="s">
        <v>132</v>
      </c>
      <c r="M134" s="7" t="s">
        <v>13</v>
      </c>
      <c r="N134" s="10" t="s">
        <v>59</v>
      </c>
      <c r="O134" s="73"/>
    </row>
    <row r="135" spans="1:15">
      <c r="A135" s="7" t="s">
        <v>463</v>
      </c>
      <c r="B135" s="7" t="s">
        <v>464</v>
      </c>
      <c r="C135" s="120">
        <f>0.636+0.314+0.599+1.15+0.97+0.325</f>
        <v>3.9939999999999998</v>
      </c>
      <c r="D135" s="120">
        <f>0.541+0.036+0.626+0.258+0.46</f>
        <v>1.921</v>
      </c>
      <c r="E135" s="120">
        <f>0.648+0.343+0.775+0.262+0.498</f>
        <v>2.5259999999999998</v>
      </c>
      <c r="F135" s="120">
        <f>0.637+0.337+0.652+0.258+0.49</f>
        <v>2.3739999999999997</v>
      </c>
      <c r="G135" s="120">
        <f>0.637+0.337+0.685+0.225+0.49</f>
        <v>2.3740000000000001</v>
      </c>
      <c r="H135" s="120">
        <f>0.637+0.337+0.685+0.225+0.49</f>
        <v>2.3740000000000001</v>
      </c>
      <c r="I135" s="120">
        <f>0.637+0.337+0.685+0.225+0.49</f>
        <v>2.3740000000000001</v>
      </c>
      <c r="J135" s="7">
        <v>100</v>
      </c>
      <c r="K135" s="7">
        <v>6</v>
      </c>
      <c r="L135" s="10" t="s">
        <v>224</v>
      </c>
      <c r="M135" s="7" t="s">
        <v>465</v>
      </c>
      <c r="N135" s="10" t="s">
        <v>59</v>
      </c>
      <c r="O135" s="73"/>
    </row>
    <row r="136" spans="1:15">
      <c r="A136" s="7" t="s">
        <v>466</v>
      </c>
      <c r="B136" s="7" t="s">
        <v>467</v>
      </c>
      <c r="C136" s="120">
        <v>0</v>
      </c>
      <c r="D136" s="120">
        <v>0.81799999999999995</v>
      </c>
      <c r="E136" s="120">
        <v>0.71599999999999997</v>
      </c>
      <c r="F136" s="120">
        <v>0.71599999999999997</v>
      </c>
      <c r="G136" s="120">
        <v>0</v>
      </c>
      <c r="H136" s="120">
        <v>0</v>
      </c>
      <c r="I136" s="120">
        <v>0</v>
      </c>
      <c r="J136" s="7">
        <v>100</v>
      </c>
      <c r="K136" s="7">
        <v>1.6</v>
      </c>
      <c r="L136" s="143"/>
      <c r="M136" s="7" t="s">
        <v>14</v>
      </c>
      <c r="N136" s="10" t="s">
        <v>59</v>
      </c>
      <c r="O136" s="73"/>
    </row>
    <row r="137" spans="1:15">
      <c r="A137" s="7" t="s">
        <v>30</v>
      </c>
      <c r="B137" s="7" t="s">
        <v>79</v>
      </c>
      <c r="C137" s="120">
        <v>0.28000000000000003</v>
      </c>
      <c r="D137" s="120">
        <v>0</v>
      </c>
      <c r="E137" s="120">
        <v>0</v>
      </c>
      <c r="F137" s="120">
        <v>0</v>
      </c>
      <c r="G137" s="120">
        <v>0</v>
      </c>
      <c r="H137" s="120">
        <v>0</v>
      </c>
      <c r="I137" s="120">
        <v>0</v>
      </c>
      <c r="J137" s="7">
        <v>100</v>
      </c>
      <c r="K137" s="7">
        <v>1.6</v>
      </c>
      <c r="L137" s="7"/>
      <c r="M137" s="7" t="s">
        <v>31</v>
      </c>
      <c r="N137" s="10" t="s">
        <v>59</v>
      </c>
      <c r="O137" s="73"/>
    </row>
    <row r="138" spans="1:15">
      <c r="A138" s="7" t="s">
        <v>30</v>
      </c>
      <c r="B138" s="7" t="s">
        <v>79</v>
      </c>
      <c r="C138" s="120">
        <v>2.1999999999999999E-2</v>
      </c>
      <c r="D138" s="120">
        <v>0</v>
      </c>
      <c r="E138" s="120">
        <v>0</v>
      </c>
      <c r="F138" s="120">
        <v>0</v>
      </c>
      <c r="G138" s="120">
        <v>0</v>
      </c>
      <c r="H138" s="120">
        <v>0</v>
      </c>
      <c r="I138" s="120">
        <v>0</v>
      </c>
      <c r="J138" s="7">
        <v>50</v>
      </c>
      <c r="K138" s="7">
        <v>1.6</v>
      </c>
      <c r="L138" s="7"/>
      <c r="M138" s="7" t="s">
        <v>32</v>
      </c>
      <c r="N138" s="10" t="s">
        <v>59</v>
      </c>
      <c r="O138" s="73"/>
    </row>
    <row r="139" spans="1:15">
      <c r="A139" s="7" t="s">
        <v>392</v>
      </c>
      <c r="B139" s="7" t="s">
        <v>391</v>
      </c>
      <c r="C139" s="120">
        <f>4.898+0.092</f>
        <v>4.9899999999999993</v>
      </c>
      <c r="D139" s="120">
        <v>0</v>
      </c>
      <c r="E139" s="120">
        <v>0</v>
      </c>
      <c r="F139" s="120">
        <v>0</v>
      </c>
      <c r="G139" s="120">
        <v>0</v>
      </c>
      <c r="H139" s="120">
        <v>0</v>
      </c>
      <c r="I139" s="120">
        <v>0</v>
      </c>
      <c r="J139" s="7">
        <v>70</v>
      </c>
      <c r="K139" s="7">
        <v>4</v>
      </c>
      <c r="L139" s="143" t="s">
        <v>435</v>
      </c>
      <c r="M139" s="7" t="s">
        <v>5</v>
      </c>
      <c r="N139" s="10" t="s">
        <v>59</v>
      </c>
      <c r="O139" s="73"/>
    </row>
    <row r="140" spans="1:15">
      <c r="A140" s="7" t="s">
        <v>392</v>
      </c>
      <c r="B140" s="7" t="s">
        <v>391</v>
      </c>
      <c r="C140" s="120">
        <v>3.2736000000000001</v>
      </c>
      <c r="D140" s="120">
        <v>4.3643999999999998</v>
      </c>
      <c r="E140" s="120">
        <v>6.0167999999999999</v>
      </c>
      <c r="F140" s="120">
        <v>4.7039999999999997</v>
      </c>
      <c r="G140" s="120">
        <v>5.3045999999999998</v>
      </c>
      <c r="H140" s="120">
        <v>5.5034999999999998</v>
      </c>
      <c r="I140" s="120">
        <v>5.5034999999999998</v>
      </c>
      <c r="J140" s="7">
        <v>30</v>
      </c>
      <c r="K140" s="7">
        <v>4</v>
      </c>
      <c r="L140" s="143" t="s">
        <v>435</v>
      </c>
      <c r="M140" s="7" t="s">
        <v>33</v>
      </c>
      <c r="N140" s="10" t="s">
        <v>59</v>
      </c>
      <c r="O140" s="73"/>
    </row>
    <row r="141" spans="1:15">
      <c r="A141" s="145" t="s">
        <v>329</v>
      </c>
      <c r="B141" s="189" t="s">
        <v>330</v>
      </c>
      <c r="C141" s="190">
        <v>15.714</v>
      </c>
      <c r="D141" s="190">
        <v>5.3057999999999996</v>
      </c>
      <c r="E141" s="190">
        <v>12.8748</v>
      </c>
      <c r="F141" s="190">
        <v>9.4118999999999993</v>
      </c>
      <c r="G141" s="190">
        <v>8.2125000000000004</v>
      </c>
      <c r="H141" s="190">
        <v>7.2408000000000001</v>
      </c>
      <c r="I141" s="190">
        <v>7.7031000000000001</v>
      </c>
      <c r="J141" s="191">
        <v>30</v>
      </c>
      <c r="K141" s="11">
        <v>5</v>
      </c>
      <c r="L141" s="7" t="s">
        <v>223</v>
      </c>
      <c r="M141" s="145" t="s">
        <v>14</v>
      </c>
      <c r="N141" s="7" t="s">
        <v>59</v>
      </c>
      <c r="O141" s="11"/>
    </row>
    <row r="142" spans="1:15">
      <c r="A142" s="145" t="s">
        <v>329</v>
      </c>
      <c r="B142" s="10" t="s">
        <v>303</v>
      </c>
      <c r="C142" s="190">
        <v>1.599</v>
      </c>
      <c r="D142" s="190">
        <v>1.304</v>
      </c>
      <c r="E142" s="190">
        <v>0</v>
      </c>
      <c r="F142" s="190">
        <v>0</v>
      </c>
      <c r="G142" s="190">
        <v>0</v>
      </c>
      <c r="H142" s="190">
        <v>0</v>
      </c>
      <c r="I142" s="190">
        <v>0</v>
      </c>
      <c r="J142" s="191">
        <v>35</v>
      </c>
      <c r="K142" s="11">
        <v>6</v>
      </c>
      <c r="L142" s="10" t="s">
        <v>224</v>
      </c>
      <c r="M142" s="145" t="s">
        <v>33</v>
      </c>
      <c r="N142" s="7" t="s">
        <v>59</v>
      </c>
      <c r="O142" s="11"/>
    </row>
    <row r="143" spans="1:15" ht="15" customHeight="1">
      <c r="A143" s="87" t="s">
        <v>470</v>
      </c>
      <c r="B143" s="149" t="s">
        <v>472</v>
      </c>
      <c r="C143" s="256"/>
      <c r="D143" s="256"/>
      <c r="E143" s="256"/>
      <c r="F143" s="256"/>
      <c r="G143" s="256"/>
      <c r="H143" s="256"/>
      <c r="I143" s="256"/>
      <c r="J143"/>
      <c r="K143" s="3"/>
      <c r="L143" s="1"/>
      <c r="M143" s="3"/>
      <c r="N143" s="3"/>
      <c r="O143" s="72"/>
    </row>
    <row r="144" spans="1:15">
      <c r="A144" s="7" t="s">
        <v>55</v>
      </c>
      <c r="B144" s="7" t="s">
        <v>331</v>
      </c>
      <c r="C144" s="120">
        <v>33.756999999999998</v>
      </c>
      <c r="D144" s="120">
        <v>25.001000000000001</v>
      </c>
      <c r="E144" s="120">
        <v>32.979999999999997</v>
      </c>
      <c r="F144" s="120">
        <v>27.686</v>
      </c>
      <c r="G144" s="120">
        <v>20.635000000000002</v>
      </c>
      <c r="H144" s="120">
        <v>29.280999999999999</v>
      </c>
      <c r="I144" s="120">
        <v>27.381</v>
      </c>
      <c r="J144" s="7">
        <v>100</v>
      </c>
      <c r="K144" s="7">
        <v>6</v>
      </c>
      <c r="L144" s="10" t="s">
        <v>224</v>
      </c>
      <c r="M144" s="7" t="s">
        <v>14</v>
      </c>
      <c r="N144" s="10" t="s">
        <v>59</v>
      </c>
      <c r="O144" s="73"/>
    </row>
    <row r="145" spans="1:15">
      <c r="A145" s="7" t="s">
        <v>55</v>
      </c>
      <c r="B145" s="7" t="s">
        <v>331</v>
      </c>
      <c r="C145" s="120">
        <v>11.420999999999999</v>
      </c>
      <c r="D145" s="120">
        <v>34.652000000000001</v>
      </c>
      <c r="E145" s="120">
        <v>18.378</v>
      </c>
      <c r="F145" s="120">
        <v>18.366</v>
      </c>
      <c r="G145" s="120">
        <v>17.661999999999999</v>
      </c>
      <c r="H145" s="120">
        <v>19.361999999999998</v>
      </c>
      <c r="I145" s="120">
        <v>20.161999999999999</v>
      </c>
      <c r="J145" s="7">
        <v>100</v>
      </c>
      <c r="K145" s="7">
        <v>6</v>
      </c>
      <c r="L145" s="10" t="s">
        <v>224</v>
      </c>
      <c r="M145" s="7" t="s">
        <v>14</v>
      </c>
      <c r="N145" s="10" t="s">
        <v>59</v>
      </c>
      <c r="O145" s="73"/>
    </row>
    <row r="146" spans="1:15">
      <c r="A146" s="7" t="s">
        <v>56</v>
      </c>
      <c r="B146" s="7" t="s">
        <v>332</v>
      </c>
      <c r="C146" s="120">
        <v>10.3992</v>
      </c>
      <c r="D146" s="120">
        <v>25.020800000000001</v>
      </c>
      <c r="E146" s="120">
        <v>14.184100000000001</v>
      </c>
      <c r="F146" s="120">
        <v>19.686800000000002</v>
      </c>
      <c r="G146" s="120">
        <v>18.440100000000001</v>
      </c>
      <c r="H146" s="120">
        <v>19.000800000000002</v>
      </c>
      <c r="I146" s="120">
        <v>19.630800000000001</v>
      </c>
      <c r="J146" s="7">
        <v>70</v>
      </c>
      <c r="K146" s="7">
        <v>6</v>
      </c>
      <c r="L146" s="10" t="s">
        <v>224</v>
      </c>
      <c r="M146" s="7" t="s">
        <v>14</v>
      </c>
      <c r="N146" s="10" t="s">
        <v>59</v>
      </c>
      <c r="O146" s="73"/>
    </row>
    <row r="147" spans="1:15">
      <c r="A147" s="7" t="s">
        <v>473</v>
      </c>
      <c r="B147" s="7" t="s">
        <v>474</v>
      </c>
      <c r="C147" s="120">
        <v>0</v>
      </c>
      <c r="D147" s="120">
        <v>0</v>
      </c>
      <c r="E147" s="120">
        <v>16.100000000000001</v>
      </c>
      <c r="F147" s="120">
        <v>16.100000000000001</v>
      </c>
      <c r="G147" s="120">
        <v>16.100000000000001</v>
      </c>
      <c r="H147" s="120">
        <v>16.100000000000001</v>
      </c>
      <c r="I147" s="120">
        <v>16.100000000000001</v>
      </c>
      <c r="J147" s="7">
        <v>70</v>
      </c>
      <c r="K147" s="7">
        <v>6</v>
      </c>
      <c r="L147" s="10" t="s">
        <v>224</v>
      </c>
      <c r="M147" s="7" t="s">
        <v>14</v>
      </c>
      <c r="N147" s="10" t="s">
        <v>59</v>
      </c>
      <c r="O147" s="73"/>
    </row>
    <row r="148" spans="1:15">
      <c r="A148" s="7" t="s">
        <v>15</v>
      </c>
      <c r="B148" s="189" t="s">
        <v>334</v>
      </c>
      <c r="C148" s="120">
        <v>1.5</v>
      </c>
      <c r="D148" s="120">
        <v>18.350000000000001</v>
      </c>
      <c r="E148" s="120">
        <v>16.3</v>
      </c>
      <c r="F148" s="120">
        <v>12.696</v>
      </c>
      <c r="G148" s="120">
        <v>11.9255</v>
      </c>
      <c r="H148" s="120">
        <v>16.4665</v>
      </c>
      <c r="I148" s="120">
        <v>21.495999999999999</v>
      </c>
      <c r="J148" s="7">
        <v>50</v>
      </c>
      <c r="K148" s="7">
        <v>6</v>
      </c>
      <c r="L148" s="10" t="s">
        <v>224</v>
      </c>
      <c r="M148" s="7" t="s">
        <v>14</v>
      </c>
      <c r="N148" s="10" t="s">
        <v>59</v>
      </c>
      <c r="O148" s="73"/>
    </row>
    <row r="149" spans="1:15" ht="25.5">
      <c r="A149" s="145">
        <v>19</v>
      </c>
      <c r="B149" s="189" t="s">
        <v>434</v>
      </c>
      <c r="C149" s="190">
        <v>0</v>
      </c>
      <c r="D149" s="190">
        <f>29.624+24</f>
        <v>53.623999999999995</v>
      </c>
      <c r="E149" s="190">
        <v>0</v>
      </c>
      <c r="F149" s="190">
        <f>18.5+9</f>
        <v>27.5</v>
      </c>
      <c r="G149" s="190">
        <f>16.5+7</f>
        <v>23.5</v>
      </c>
      <c r="H149" s="190">
        <v>10.5</v>
      </c>
      <c r="I149" s="190">
        <v>9.5</v>
      </c>
      <c r="J149" s="191">
        <v>100</v>
      </c>
      <c r="K149" s="11" t="s">
        <v>20</v>
      </c>
      <c r="L149" s="7"/>
      <c r="M149" s="145" t="s">
        <v>475</v>
      </c>
      <c r="N149" s="7" t="s">
        <v>396</v>
      </c>
      <c r="O149" s="11"/>
    </row>
    <row r="150" spans="1:15">
      <c r="A150" s="7" t="s">
        <v>476</v>
      </c>
      <c r="B150" s="7" t="s">
        <v>433</v>
      </c>
      <c r="C150" s="120">
        <f>2.734+1.95</f>
        <v>4.6840000000000002</v>
      </c>
      <c r="D150" s="120">
        <f>4.28+2.301</f>
        <v>6.5810000000000004</v>
      </c>
      <c r="E150" s="120">
        <f>3.654+2.001</f>
        <v>5.6549999999999994</v>
      </c>
      <c r="F150" s="120">
        <f>7.655+3.451</f>
        <v>11.106</v>
      </c>
      <c r="G150" s="120">
        <f>5.757+2.451</f>
        <v>8.2080000000000002</v>
      </c>
      <c r="H150" s="120">
        <f>5.757+2.451</f>
        <v>8.2080000000000002</v>
      </c>
      <c r="I150" s="120">
        <f>5.757+2.251</f>
        <v>8.0079999999999991</v>
      </c>
      <c r="J150" s="7">
        <v>50</v>
      </c>
      <c r="K150" s="73">
        <v>6</v>
      </c>
      <c r="L150" s="10" t="s">
        <v>224</v>
      </c>
      <c r="M150" s="7" t="s">
        <v>14</v>
      </c>
      <c r="N150" s="10" t="s">
        <v>59</v>
      </c>
      <c r="O150" s="7"/>
    </row>
    <row r="151" spans="1:15" ht="15" customHeight="1">
      <c r="A151" s="87" t="s">
        <v>477</v>
      </c>
      <c r="B151" s="149" t="s">
        <v>34</v>
      </c>
      <c r="C151" s="256"/>
      <c r="D151" s="256"/>
      <c r="E151" s="256"/>
      <c r="F151" s="256"/>
      <c r="G151" s="256"/>
      <c r="H151" s="256"/>
      <c r="I151" s="256"/>
      <c r="J151"/>
      <c r="K151" s="3"/>
      <c r="L151" s="1"/>
      <c r="M151" s="3"/>
      <c r="N151" s="3"/>
      <c r="O151" s="72"/>
    </row>
    <row r="152" spans="1:15">
      <c r="A152" s="144" t="s">
        <v>478</v>
      </c>
      <c r="B152" s="7" t="s">
        <v>364</v>
      </c>
      <c r="C152" s="120">
        <v>7.25</v>
      </c>
      <c r="D152" s="120">
        <v>7.2510000000000003</v>
      </c>
      <c r="E152" s="120">
        <v>8.1110000000000007</v>
      </c>
      <c r="F152" s="120">
        <v>8.1110000000000007</v>
      </c>
      <c r="G152" s="120">
        <v>8.1110000000000007</v>
      </c>
      <c r="H152" s="120">
        <v>8.1110000000000007</v>
      </c>
      <c r="I152" s="120">
        <v>8.1110000000000007</v>
      </c>
      <c r="J152" s="7">
        <v>100</v>
      </c>
      <c r="K152" s="7">
        <v>5</v>
      </c>
      <c r="L152" s="7" t="s">
        <v>223</v>
      </c>
      <c r="M152" s="7" t="s">
        <v>38</v>
      </c>
      <c r="N152" s="7" t="s">
        <v>58</v>
      </c>
      <c r="O152" s="73"/>
    </row>
    <row r="153" spans="1:15">
      <c r="A153" s="144" t="s">
        <v>481</v>
      </c>
      <c r="B153" s="7" t="s">
        <v>40</v>
      </c>
      <c r="C153" s="120">
        <v>0</v>
      </c>
      <c r="D153" s="120">
        <v>8.0000000000000002E-3</v>
      </c>
      <c r="E153" s="120">
        <v>2.8000000000000001E-2</v>
      </c>
      <c r="F153" s="120">
        <v>2.8000000000000001E-2</v>
      </c>
      <c r="G153" s="120">
        <v>2.8000000000000001E-2</v>
      </c>
      <c r="H153" s="120">
        <v>2.775E-2</v>
      </c>
      <c r="I153" s="120">
        <v>2.775E-2</v>
      </c>
      <c r="J153" s="7">
        <v>75</v>
      </c>
      <c r="K153" s="7">
        <v>5</v>
      </c>
      <c r="L153" s="7" t="s">
        <v>223</v>
      </c>
      <c r="M153" s="7" t="s">
        <v>41</v>
      </c>
      <c r="N153" s="7" t="s">
        <v>58</v>
      </c>
      <c r="O153" s="73"/>
    </row>
    <row r="154" spans="1:15">
      <c r="A154" s="144" t="s">
        <v>482</v>
      </c>
      <c r="B154" s="7" t="s">
        <v>43</v>
      </c>
      <c r="C154" s="120">
        <v>28.818999999999999</v>
      </c>
      <c r="D154" s="120">
        <v>25.052</v>
      </c>
      <c r="E154" s="120">
        <v>23.058</v>
      </c>
      <c r="F154" s="120">
        <v>22.957000000000001</v>
      </c>
      <c r="G154" s="120">
        <v>22.957000000000001</v>
      </c>
      <c r="H154" s="120">
        <v>22.957000000000001</v>
      </c>
      <c r="I154" s="120">
        <v>22.957000000000001</v>
      </c>
      <c r="J154" s="7">
        <v>100</v>
      </c>
      <c r="K154" s="7">
        <v>5</v>
      </c>
      <c r="L154" s="7" t="s">
        <v>223</v>
      </c>
      <c r="M154" s="7" t="s">
        <v>44</v>
      </c>
      <c r="N154" s="7" t="s">
        <v>58</v>
      </c>
      <c r="O154" s="73"/>
    </row>
    <row r="155" spans="1:15">
      <c r="A155" s="144" t="s">
        <v>483</v>
      </c>
      <c r="B155" s="7" t="s">
        <v>484</v>
      </c>
      <c r="C155" s="120">
        <v>1.349</v>
      </c>
      <c r="D155" s="120">
        <v>4.4459999999999997</v>
      </c>
      <c r="E155" s="120">
        <v>4.5940000000000003</v>
      </c>
      <c r="F155" s="120">
        <v>4.5940000000000003</v>
      </c>
      <c r="G155" s="120">
        <v>4.5940000000000003</v>
      </c>
      <c r="H155" s="120">
        <v>4.5940000000000003</v>
      </c>
      <c r="I155" s="120">
        <v>4.5940000000000003</v>
      </c>
      <c r="J155" s="7">
        <v>100</v>
      </c>
      <c r="K155" s="7">
        <v>5</v>
      </c>
      <c r="L155" s="7" t="s">
        <v>223</v>
      </c>
      <c r="M155" s="7" t="s">
        <v>22</v>
      </c>
      <c r="N155" s="7" t="s">
        <v>58</v>
      </c>
      <c r="O155" s="73"/>
    </row>
    <row r="156" spans="1:15">
      <c r="A156" s="144" t="s">
        <v>478</v>
      </c>
      <c r="B156" s="7" t="s">
        <v>35</v>
      </c>
      <c r="C156" s="120">
        <f>9.129+5.285</f>
        <v>14.414</v>
      </c>
      <c r="D156" s="120">
        <f>8.9+12.21</f>
        <v>21.11</v>
      </c>
      <c r="E156" s="120">
        <f>8.272+12.15</f>
        <v>20.422000000000001</v>
      </c>
      <c r="F156" s="120">
        <f>6.693+12.08</f>
        <v>18.773</v>
      </c>
      <c r="G156" s="120">
        <f>7.873+12.5</f>
        <v>20.373000000000001</v>
      </c>
      <c r="H156" s="120">
        <f>G156</f>
        <v>20.373000000000001</v>
      </c>
      <c r="I156" s="120">
        <f>7.873+4.375</f>
        <v>12.248000000000001</v>
      </c>
      <c r="J156" s="7">
        <v>25</v>
      </c>
      <c r="K156" s="7">
        <v>5</v>
      </c>
      <c r="L156" s="7" t="s">
        <v>223</v>
      </c>
      <c r="M156" s="7" t="s">
        <v>14</v>
      </c>
      <c r="N156" s="10" t="s">
        <v>59</v>
      </c>
      <c r="O156" s="73"/>
    </row>
    <row r="157" spans="1:15">
      <c r="A157" s="144">
        <v>14</v>
      </c>
      <c r="B157" s="7" t="s">
        <v>393</v>
      </c>
      <c r="C157" s="120">
        <v>3.0459000000000001</v>
      </c>
      <c r="D157" s="120">
        <v>5.55</v>
      </c>
      <c r="E157" s="120">
        <v>12.3</v>
      </c>
      <c r="F157" s="120">
        <v>14.7</v>
      </c>
      <c r="G157" s="120">
        <v>14.7</v>
      </c>
      <c r="H157" s="120">
        <v>14.7</v>
      </c>
      <c r="I157" s="120">
        <v>14.7</v>
      </c>
      <c r="J157" s="7">
        <v>30</v>
      </c>
      <c r="K157" s="7">
        <v>5</v>
      </c>
      <c r="L157" s="7" t="s">
        <v>223</v>
      </c>
      <c r="M157" s="7" t="s">
        <v>59</v>
      </c>
      <c r="N157" s="10" t="s">
        <v>59</v>
      </c>
      <c r="O157" s="73"/>
    </row>
    <row r="158" spans="1:15">
      <c r="A158" s="144" t="s">
        <v>479</v>
      </c>
      <c r="B158" s="7" t="s">
        <v>36</v>
      </c>
      <c r="C158" s="120">
        <f>0.765+0.324+0.011+0.002+0.971+0.207+2.043</f>
        <v>4.3230000000000004</v>
      </c>
      <c r="D158" s="120">
        <f>1.069+0.413+0.013+0.088+0.7+0.75+1.468</f>
        <v>4.5009999999999994</v>
      </c>
      <c r="E158" s="120">
        <v>0.59199999999999997</v>
      </c>
      <c r="F158" s="120">
        <v>0.59199999999999997</v>
      </c>
      <c r="G158" s="120">
        <v>0.59199999999999997</v>
      </c>
      <c r="H158" s="120">
        <v>0.59199999999999997</v>
      </c>
      <c r="I158" s="120">
        <v>0.59199999999999997</v>
      </c>
      <c r="J158" s="7">
        <v>25</v>
      </c>
      <c r="K158" s="7">
        <v>5</v>
      </c>
      <c r="L158" s="7" t="s">
        <v>223</v>
      </c>
      <c r="M158" s="7" t="s">
        <v>14</v>
      </c>
      <c r="N158" s="10" t="s">
        <v>59</v>
      </c>
      <c r="O158" s="73"/>
    </row>
    <row r="159" spans="1:15">
      <c r="A159" s="144" t="s">
        <v>478</v>
      </c>
      <c r="B159" s="7" t="s">
        <v>480</v>
      </c>
      <c r="C159" s="120">
        <v>1.488</v>
      </c>
      <c r="D159" s="120">
        <v>0.188</v>
      </c>
      <c r="E159" s="120">
        <v>0</v>
      </c>
      <c r="F159" s="120">
        <v>0</v>
      </c>
      <c r="G159" s="120">
        <v>0</v>
      </c>
      <c r="H159" s="120">
        <v>0</v>
      </c>
      <c r="I159" s="120">
        <v>0</v>
      </c>
      <c r="J159" s="7">
        <v>25</v>
      </c>
      <c r="K159" s="7">
        <v>5</v>
      </c>
      <c r="L159" s="7" t="s">
        <v>223</v>
      </c>
      <c r="M159" s="7" t="s">
        <v>14</v>
      </c>
      <c r="N159" s="10" t="s">
        <v>59</v>
      </c>
      <c r="O159" s="73"/>
    </row>
    <row r="160" spans="1:15">
      <c r="A160" s="144" t="s">
        <v>478</v>
      </c>
      <c r="B160" s="7" t="s">
        <v>37</v>
      </c>
      <c r="C160" s="120">
        <v>0</v>
      </c>
      <c r="D160" s="120">
        <v>0.24</v>
      </c>
      <c r="E160" s="120">
        <v>4.3620000000000001</v>
      </c>
      <c r="F160" s="120">
        <v>5.08</v>
      </c>
      <c r="G160" s="120">
        <v>3.08</v>
      </c>
      <c r="H160" s="120">
        <v>8.08</v>
      </c>
      <c r="I160" s="120">
        <v>8.08</v>
      </c>
      <c r="J160" s="7">
        <v>100</v>
      </c>
      <c r="K160" s="7">
        <v>5</v>
      </c>
      <c r="L160" s="7" t="s">
        <v>223</v>
      </c>
      <c r="M160" s="7" t="s">
        <v>14</v>
      </c>
      <c r="N160" s="10" t="s">
        <v>59</v>
      </c>
      <c r="O160" s="73"/>
    </row>
    <row r="161" spans="1:15">
      <c r="A161" s="144" t="s">
        <v>481</v>
      </c>
      <c r="B161" s="7" t="s">
        <v>39</v>
      </c>
      <c r="C161" s="120">
        <f>2.869+9.521</f>
        <v>12.39</v>
      </c>
      <c r="D161" s="120">
        <f>0.668+4.365+1.5+0.2</f>
        <v>6.7330000000000005</v>
      </c>
      <c r="E161" s="120">
        <f>5.456+2+0.25</f>
        <v>7.7060000000000004</v>
      </c>
      <c r="F161" s="120">
        <f>5.907+2.5+0.25</f>
        <v>8.657</v>
      </c>
      <c r="G161" s="120">
        <f>4.167+2.5+0.25</f>
        <v>6.9169999999999998</v>
      </c>
      <c r="H161" s="120">
        <f>5.167+2.5+0.25</f>
        <v>7.9169999999999998</v>
      </c>
      <c r="I161" s="120">
        <f>5.167+2.5+0.25</f>
        <v>7.9169999999999998</v>
      </c>
      <c r="J161" s="7">
        <v>100</v>
      </c>
      <c r="K161" s="7">
        <v>5</v>
      </c>
      <c r="L161" s="7" t="s">
        <v>223</v>
      </c>
      <c r="M161" s="7" t="s">
        <v>20</v>
      </c>
      <c r="N161" s="7" t="s">
        <v>59</v>
      </c>
      <c r="O161" s="73"/>
    </row>
    <row r="162" spans="1:15">
      <c r="A162" s="144" t="s">
        <v>481</v>
      </c>
      <c r="B162" s="7" t="s">
        <v>42</v>
      </c>
      <c r="C162" s="120">
        <v>7.22</v>
      </c>
      <c r="D162" s="120">
        <v>2.407</v>
      </c>
      <c r="E162" s="120">
        <v>0</v>
      </c>
      <c r="F162" s="120">
        <v>0</v>
      </c>
      <c r="G162" s="120">
        <v>0</v>
      </c>
      <c r="H162" s="120">
        <v>0</v>
      </c>
      <c r="I162" s="120">
        <v>0</v>
      </c>
      <c r="J162" s="7">
        <v>60</v>
      </c>
      <c r="K162" s="7">
        <v>5</v>
      </c>
      <c r="L162" s="7" t="s">
        <v>223</v>
      </c>
      <c r="M162" s="7" t="s">
        <v>28</v>
      </c>
      <c r="N162" s="10" t="s">
        <v>59</v>
      </c>
      <c r="O162" s="73"/>
    </row>
    <row r="163" spans="1:15">
      <c r="A163" s="144" t="s">
        <v>481</v>
      </c>
      <c r="B163" s="7" t="s">
        <v>4</v>
      </c>
      <c r="C163" s="120">
        <f>0.152+1.141+0.521</f>
        <v>1.8140000000000001</v>
      </c>
      <c r="D163" s="120">
        <f>0.195+1.987+0.687</f>
        <v>2.8689999999999998</v>
      </c>
      <c r="E163" s="120">
        <f>1.974</f>
        <v>1.974</v>
      </c>
      <c r="F163" s="120">
        <f>1.976</f>
        <v>1.976</v>
      </c>
      <c r="G163" s="120">
        <f>1.976</f>
        <v>1.976</v>
      </c>
      <c r="H163" s="120">
        <f>1.976</f>
        <v>1.976</v>
      </c>
      <c r="I163" s="120">
        <f>1.976</f>
        <v>1.976</v>
      </c>
      <c r="J163" s="7">
        <v>100</v>
      </c>
      <c r="K163" s="7">
        <v>5</v>
      </c>
      <c r="L163" s="7" t="s">
        <v>223</v>
      </c>
      <c r="M163" s="7" t="s">
        <v>20</v>
      </c>
      <c r="N163" s="7" t="s">
        <v>59</v>
      </c>
      <c r="O163" s="73"/>
    </row>
    <row r="164" spans="1:15" s="3" customFormat="1" ht="15">
      <c r="A164" s="87" t="s">
        <v>486</v>
      </c>
      <c r="B164" s="149" t="s">
        <v>485</v>
      </c>
      <c r="C164" s="256"/>
      <c r="D164" s="256"/>
      <c r="E164" s="256"/>
      <c r="F164" s="256"/>
      <c r="G164" s="256"/>
      <c r="H164" s="256"/>
      <c r="I164" s="256"/>
      <c r="J164"/>
      <c r="L164" s="1"/>
      <c r="O164" s="72"/>
    </row>
    <row r="165" spans="1:15">
      <c r="A165" s="144" t="s">
        <v>488</v>
      </c>
      <c r="B165" s="7" t="s">
        <v>487</v>
      </c>
      <c r="C165" s="120">
        <v>0</v>
      </c>
      <c r="D165" s="120">
        <v>6.0960000000000001</v>
      </c>
      <c r="E165" s="120">
        <v>7</v>
      </c>
      <c r="F165" s="120">
        <v>7</v>
      </c>
      <c r="G165" s="120">
        <v>7</v>
      </c>
      <c r="H165" s="120">
        <v>7</v>
      </c>
      <c r="I165" s="120">
        <v>6</v>
      </c>
      <c r="J165" s="7">
        <v>100</v>
      </c>
      <c r="K165" s="7">
        <v>5</v>
      </c>
      <c r="L165" s="7" t="s">
        <v>223</v>
      </c>
      <c r="M165" s="7" t="s">
        <v>489</v>
      </c>
      <c r="N165" s="7" t="s">
        <v>59</v>
      </c>
      <c r="O165" s="73"/>
    </row>
    <row r="166" spans="1:15" ht="15" customHeight="1">
      <c r="A166" s="87" t="s">
        <v>490</v>
      </c>
      <c r="B166" s="149" t="s">
        <v>45</v>
      </c>
      <c r="C166" s="256"/>
      <c r="D166" s="256"/>
      <c r="E166" s="256"/>
      <c r="F166" s="256"/>
      <c r="G166" s="256"/>
      <c r="H166" s="256"/>
      <c r="I166" s="256"/>
      <c r="J166"/>
      <c r="K166" s="3"/>
      <c r="L166" s="1"/>
      <c r="M166" s="3"/>
      <c r="N166" s="3"/>
      <c r="O166" s="72"/>
    </row>
    <row r="167" spans="1:15">
      <c r="A167" s="145" t="s">
        <v>493</v>
      </c>
      <c r="B167" s="9" t="s">
        <v>46</v>
      </c>
      <c r="C167" s="118">
        <f>16.799+3.889</f>
        <v>20.687999999999999</v>
      </c>
      <c r="D167" s="118">
        <f>16.794+3.971</f>
        <v>20.765000000000001</v>
      </c>
      <c r="E167" s="118">
        <f>9.513+3.945</f>
        <v>13.458</v>
      </c>
      <c r="F167" s="118">
        <f>9.513+3.945</f>
        <v>13.458</v>
      </c>
      <c r="G167" s="118">
        <f>9.513+3.945</f>
        <v>13.458</v>
      </c>
      <c r="H167" s="118">
        <f>9.513+3.945</f>
        <v>13.458</v>
      </c>
      <c r="I167" s="118">
        <f>9.513+3.945</f>
        <v>13.458</v>
      </c>
      <c r="J167" s="10">
        <v>100</v>
      </c>
      <c r="K167" s="191" t="s">
        <v>492</v>
      </c>
      <c r="L167" s="10" t="s">
        <v>220</v>
      </c>
      <c r="M167" s="10" t="s">
        <v>47</v>
      </c>
      <c r="N167" s="10" t="s">
        <v>58</v>
      </c>
      <c r="O167" s="73"/>
    </row>
    <row r="168" spans="1:15">
      <c r="A168" s="145" t="s">
        <v>493</v>
      </c>
      <c r="B168" s="9" t="s">
        <v>221</v>
      </c>
      <c r="C168" s="65">
        <v>54.533000000000001</v>
      </c>
      <c r="D168" s="65">
        <v>56.014000000000003</v>
      </c>
      <c r="E168" s="65">
        <v>62.06</v>
      </c>
      <c r="F168" s="65">
        <v>59.655000000000001</v>
      </c>
      <c r="G168" s="65">
        <v>59.655000000000001</v>
      </c>
      <c r="H168" s="65">
        <v>59.655000000000001</v>
      </c>
      <c r="I168" s="65">
        <v>59.655000000000001</v>
      </c>
      <c r="J168" s="10">
        <v>100</v>
      </c>
      <c r="K168" s="191" t="s">
        <v>492</v>
      </c>
      <c r="L168" s="10" t="s">
        <v>220</v>
      </c>
      <c r="M168" s="10" t="s">
        <v>47</v>
      </c>
      <c r="N168" s="10" t="s">
        <v>58</v>
      </c>
      <c r="O168" s="73"/>
    </row>
    <row r="169" spans="1:15">
      <c r="A169" s="145" t="s">
        <v>493</v>
      </c>
      <c r="B169" s="9" t="s">
        <v>48</v>
      </c>
      <c r="C169" s="65">
        <v>30.766999999999999</v>
      </c>
      <c r="D169" s="65">
        <v>27.17</v>
      </c>
      <c r="E169" s="65">
        <v>14.98</v>
      </c>
      <c r="F169" s="65">
        <v>11.865</v>
      </c>
      <c r="G169" s="65">
        <v>11.228</v>
      </c>
      <c r="H169" s="65">
        <v>11.19</v>
      </c>
      <c r="I169" s="65">
        <v>11.19</v>
      </c>
      <c r="J169" s="10">
        <v>100</v>
      </c>
      <c r="K169" s="10">
        <v>8</v>
      </c>
      <c r="L169" s="10" t="s">
        <v>222</v>
      </c>
      <c r="M169" s="10" t="s">
        <v>47</v>
      </c>
      <c r="N169" s="10" t="s">
        <v>58</v>
      </c>
      <c r="O169" s="73"/>
    </row>
    <row r="170" spans="1:15">
      <c r="A170" s="145" t="s">
        <v>493</v>
      </c>
      <c r="B170" s="9" t="s">
        <v>49</v>
      </c>
      <c r="C170" s="65">
        <v>52.143999999999998</v>
      </c>
      <c r="D170" s="65">
        <v>48.042999999999999</v>
      </c>
      <c r="E170" s="65">
        <v>43.067999999999998</v>
      </c>
      <c r="F170" s="65">
        <v>40.956000000000003</v>
      </c>
      <c r="G170" s="65">
        <v>39.895000000000003</v>
      </c>
      <c r="H170" s="65">
        <v>39.895000000000003</v>
      </c>
      <c r="I170" s="65">
        <v>39.895000000000003</v>
      </c>
      <c r="J170" s="10">
        <v>100</v>
      </c>
      <c r="K170" s="10">
        <v>8</v>
      </c>
      <c r="L170" s="10" t="s">
        <v>222</v>
      </c>
      <c r="M170" s="10" t="s">
        <v>47</v>
      </c>
      <c r="N170" s="10" t="s">
        <v>58</v>
      </c>
      <c r="O170" s="73"/>
    </row>
    <row r="171" spans="1:15">
      <c r="A171" s="145" t="s">
        <v>491</v>
      </c>
      <c r="B171" s="10" t="s">
        <v>394</v>
      </c>
      <c r="C171" s="65">
        <v>0.64</v>
      </c>
      <c r="D171" s="65">
        <v>0.9</v>
      </c>
      <c r="E171" s="65">
        <v>1.5</v>
      </c>
      <c r="F171" s="65">
        <v>1.5</v>
      </c>
      <c r="G171" s="65">
        <v>1.5</v>
      </c>
      <c r="H171" s="65">
        <v>1.5</v>
      </c>
      <c r="I171" s="65">
        <v>1.5</v>
      </c>
      <c r="J171" s="10">
        <v>100</v>
      </c>
      <c r="K171" s="11">
        <v>6</v>
      </c>
      <c r="L171" s="10" t="s">
        <v>224</v>
      </c>
      <c r="M171" s="10" t="s">
        <v>9</v>
      </c>
      <c r="N171" s="10" t="s">
        <v>59</v>
      </c>
      <c r="O171" s="73"/>
    </row>
    <row r="172" spans="1:15">
      <c r="A172" s="145" t="s">
        <v>491</v>
      </c>
      <c r="B172" s="10" t="s">
        <v>336</v>
      </c>
      <c r="C172" s="65">
        <v>0.25</v>
      </c>
      <c r="D172" s="65">
        <v>0.2</v>
      </c>
      <c r="E172" s="65">
        <v>0.1</v>
      </c>
      <c r="F172" s="65">
        <v>0.1</v>
      </c>
      <c r="G172" s="65">
        <v>0.1</v>
      </c>
      <c r="H172" s="65">
        <v>0.1</v>
      </c>
      <c r="I172" s="65">
        <v>0.1</v>
      </c>
      <c r="J172" s="10">
        <v>100</v>
      </c>
      <c r="K172" s="10">
        <v>6</v>
      </c>
      <c r="L172" s="10" t="s">
        <v>224</v>
      </c>
      <c r="M172" s="10" t="s">
        <v>9</v>
      </c>
      <c r="N172" s="10" t="s">
        <v>59</v>
      </c>
      <c r="O172" s="73"/>
    </row>
    <row r="173" spans="1:15" ht="12.75" customHeight="1">
      <c r="A173" s="145" t="s">
        <v>493</v>
      </c>
      <c r="B173" s="10" t="s">
        <v>50</v>
      </c>
      <c r="C173" s="65">
        <v>0</v>
      </c>
      <c r="D173" s="65">
        <v>0</v>
      </c>
      <c r="E173" s="65">
        <v>0</v>
      </c>
      <c r="F173" s="65">
        <v>1.8959999999999999</v>
      </c>
      <c r="G173" s="65">
        <v>1.8959999999999999</v>
      </c>
      <c r="H173" s="65">
        <v>1.8959999999999999</v>
      </c>
      <c r="I173" s="65">
        <v>1.8959999999999999</v>
      </c>
      <c r="J173" s="10">
        <v>100</v>
      </c>
      <c r="K173" s="10">
        <v>8</v>
      </c>
      <c r="L173" s="10" t="s">
        <v>222</v>
      </c>
      <c r="M173" s="10" t="s">
        <v>51</v>
      </c>
      <c r="N173" s="10" t="s">
        <v>59</v>
      </c>
      <c r="O173" s="73"/>
    </row>
    <row r="174" spans="1:15" ht="12.75" customHeight="1">
      <c r="A174" s="145" t="s">
        <v>493</v>
      </c>
      <c r="B174" s="10" t="s">
        <v>395</v>
      </c>
      <c r="C174" s="65">
        <f>3.674+2.56+1.555+3.332+3.697+1.667+0.238</f>
        <v>16.722999999999999</v>
      </c>
      <c r="D174" s="65">
        <f>1.78+2.808+2.183+0.136+1.345+0.008</f>
        <v>8.26</v>
      </c>
      <c r="E174" s="65">
        <f>1.242+2.908+1.658+0.201+1.919+0.008</f>
        <v>7.9359999999999991</v>
      </c>
      <c r="F174" s="65">
        <f>1.473+2.9+1.815+0.201+1.619+0.008</f>
        <v>8.016</v>
      </c>
      <c r="G174" s="65">
        <f>1.965+2.9+1.816+0.201+1.618+0.008</f>
        <v>8.5079999999999991</v>
      </c>
      <c r="H174" s="65">
        <f>2.003+2.9+1.601+0.201+1.619+0.008</f>
        <v>8.331999999999999</v>
      </c>
      <c r="I174" s="65">
        <f>2.003+2.9+1.601+0.201+2.354+0.008</f>
        <v>9.0670000000000002</v>
      </c>
      <c r="J174" s="10">
        <v>100</v>
      </c>
      <c r="K174" s="11">
        <v>8</v>
      </c>
      <c r="L174" s="10" t="s">
        <v>222</v>
      </c>
      <c r="M174" s="10" t="s">
        <v>14</v>
      </c>
      <c r="N174" s="10" t="s">
        <v>59</v>
      </c>
      <c r="O174" s="73"/>
    </row>
    <row r="175" spans="1:15">
      <c r="A175" s="145" t="s">
        <v>493</v>
      </c>
      <c r="B175" s="10" t="s">
        <v>494</v>
      </c>
      <c r="C175" s="65">
        <v>0</v>
      </c>
      <c r="D175" s="65">
        <v>4.4470000000000001</v>
      </c>
      <c r="E175" s="65">
        <v>4.7720000000000002</v>
      </c>
      <c r="F175" s="65">
        <v>3.4329999999999998</v>
      </c>
      <c r="G175" s="65">
        <v>0.57299999999999995</v>
      </c>
      <c r="H175" s="65">
        <v>0.221</v>
      </c>
      <c r="I175" s="65">
        <v>0.114</v>
      </c>
      <c r="J175" s="10">
        <v>100</v>
      </c>
      <c r="K175" s="11">
        <v>8</v>
      </c>
      <c r="L175" s="10" t="s">
        <v>222</v>
      </c>
      <c r="M175" s="10" t="s">
        <v>14</v>
      </c>
      <c r="N175" s="10" t="s">
        <v>59</v>
      </c>
      <c r="O175" s="73"/>
    </row>
    <row r="176" spans="1:15" s="3" customFormat="1" ht="15">
      <c r="A176" s="87" t="s">
        <v>90</v>
      </c>
      <c r="B176" s="149" t="s">
        <v>52</v>
      </c>
      <c r="C176" s="151"/>
      <c r="D176" s="151"/>
      <c r="E176" s="151"/>
      <c r="F176" s="151"/>
      <c r="G176" s="151"/>
      <c r="H176" s="151"/>
      <c r="I176" s="151"/>
      <c r="J176" s="87"/>
      <c r="K176" s="87"/>
      <c r="L176" s="23"/>
      <c r="M176" s="87"/>
      <c r="N176" s="87"/>
      <c r="O176" s="152"/>
    </row>
    <row r="177" spans="1:37" s="3" customFormat="1" ht="15">
      <c r="A177" s="144">
        <v>40</v>
      </c>
      <c r="B177" s="7" t="s">
        <v>53</v>
      </c>
      <c r="C177" s="120">
        <v>3.7192500000000002</v>
      </c>
      <c r="D177" s="120">
        <v>4.39175</v>
      </c>
      <c r="E177" s="120">
        <v>3.87025</v>
      </c>
      <c r="F177" s="120">
        <v>3.32525</v>
      </c>
      <c r="G177" s="120">
        <v>3.3105000000000002</v>
      </c>
      <c r="H177" s="120">
        <v>3.3105000000000002</v>
      </c>
      <c r="I177" s="120">
        <v>3.3105000000000002</v>
      </c>
      <c r="J177" s="7">
        <v>25</v>
      </c>
      <c r="K177" s="7">
        <v>11</v>
      </c>
      <c r="L177" s="143" t="s">
        <v>88</v>
      </c>
      <c r="M177" s="7" t="s">
        <v>11</v>
      </c>
      <c r="N177" s="10" t="s">
        <v>58</v>
      </c>
      <c r="O177" s="73"/>
    </row>
    <row r="178" spans="1:37" s="3" customFormat="1" ht="15">
      <c r="A178" s="87"/>
      <c r="B178" s="3" t="s">
        <v>54</v>
      </c>
      <c r="C178" s="12">
        <f t="shared" ref="C178:I178" si="7">SUM(C108:C177)</f>
        <v>835.66549999999995</v>
      </c>
      <c r="D178" s="12">
        <f t="shared" si="7"/>
        <v>906.38279999999986</v>
      </c>
      <c r="E178" s="12">
        <f t="shared" si="7"/>
        <v>829.72180000000026</v>
      </c>
      <c r="F178" s="12">
        <f t="shared" si="7"/>
        <v>838.92630000000008</v>
      </c>
      <c r="G178" s="12">
        <f t="shared" si="7"/>
        <v>819.66970000000026</v>
      </c>
      <c r="H178" s="12">
        <f t="shared" si="7"/>
        <v>831.95005000000015</v>
      </c>
      <c r="I178" s="12">
        <f t="shared" si="7"/>
        <v>827.48485000000028</v>
      </c>
      <c r="L178" s="1"/>
      <c r="O178" s="72"/>
    </row>
    <row r="179" spans="1:37">
      <c r="C179" s="62"/>
      <c r="D179" s="62"/>
      <c r="E179" s="62"/>
      <c r="F179" s="62"/>
      <c r="G179" s="62"/>
      <c r="H179" s="62"/>
      <c r="I179" s="62"/>
      <c r="O179" s="13"/>
    </row>
    <row r="180" spans="1:37" ht="15">
      <c r="A180" s="32"/>
      <c r="B180" s="29" t="s">
        <v>113</v>
      </c>
      <c r="C180" s="63"/>
      <c r="D180" s="63"/>
      <c r="E180" s="63"/>
      <c r="F180" s="63"/>
      <c r="G180" s="63"/>
      <c r="H180" s="63"/>
      <c r="I180" s="63"/>
      <c r="J180" s="29"/>
      <c r="K180" s="31"/>
      <c r="L180" s="112"/>
      <c r="M180" s="29"/>
      <c r="N180" s="29"/>
      <c r="O180" s="29"/>
      <c r="P180" s="5"/>
      <c r="Q180" s="5"/>
      <c r="R180" s="5"/>
      <c r="S180" s="5"/>
      <c r="T180" s="5"/>
      <c r="U180" s="5"/>
      <c r="V180" s="5"/>
    </row>
    <row r="181" spans="1:37">
      <c r="A181" s="7">
        <v>1</v>
      </c>
      <c r="B181" s="4" t="s">
        <v>453</v>
      </c>
      <c r="C181" s="62"/>
      <c r="D181" s="62">
        <v>3.7749999999999999</v>
      </c>
      <c r="E181" s="62">
        <v>3.7749999999999999</v>
      </c>
      <c r="F181" s="62">
        <v>3.7749999999999999</v>
      </c>
      <c r="G181" s="62">
        <v>3.7749999999999999</v>
      </c>
      <c r="H181" s="62">
        <v>3.7749999999999999</v>
      </c>
      <c r="I181" s="62">
        <v>3.7749999999999999</v>
      </c>
      <c r="J181" s="241">
        <f>E181/15.992*100</f>
        <v>23.60555277638819</v>
      </c>
      <c r="K181" s="4">
        <v>7</v>
      </c>
      <c r="L181" s="116" t="s">
        <v>136</v>
      </c>
      <c r="M181" s="4" t="s">
        <v>41</v>
      </c>
      <c r="N181" s="4" t="s">
        <v>58</v>
      </c>
      <c r="O181" s="13"/>
      <c r="P181" s="5"/>
      <c r="Q181" s="5"/>
      <c r="R181" s="5"/>
      <c r="S181" s="5"/>
      <c r="T181" s="5"/>
      <c r="U181" s="5"/>
      <c r="V181" s="5"/>
    </row>
    <row r="182" spans="1:37">
      <c r="A182" s="7">
        <v>1</v>
      </c>
      <c r="B182" s="4" t="s">
        <v>453</v>
      </c>
      <c r="C182" s="62">
        <v>1.5449999999999999</v>
      </c>
      <c r="D182" s="62">
        <v>1.369</v>
      </c>
      <c r="E182" s="62">
        <v>2.4329999999999998</v>
      </c>
      <c r="F182" s="62">
        <v>2.2320000000000002</v>
      </c>
      <c r="G182" s="62">
        <v>2.2320000000000002</v>
      </c>
      <c r="H182" s="62">
        <v>2.2320000000000002</v>
      </c>
      <c r="I182" s="62">
        <v>2.2320000000000002</v>
      </c>
      <c r="J182" s="241">
        <f>E182/15.992*100</f>
        <v>15.213856928464232</v>
      </c>
      <c r="K182" s="4">
        <v>11</v>
      </c>
      <c r="L182" s="116" t="s">
        <v>88</v>
      </c>
      <c r="N182" s="4" t="s">
        <v>59</v>
      </c>
      <c r="O182" s="13"/>
      <c r="P182" s="5"/>
      <c r="Q182" s="5"/>
      <c r="R182" s="5"/>
      <c r="S182" s="5"/>
      <c r="T182" s="5"/>
      <c r="U182" s="5"/>
      <c r="V182" s="5"/>
    </row>
    <row r="183" spans="1:37">
      <c r="A183" s="7">
        <v>13</v>
      </c>
      <c r="B183" s="4" t="s">
        <v>454</v>
      </c>
      <c r="C183" s="62">
        <v>1.498</v>
      </c>
      <c r="D183" s="62">
        <v>1.056</v>
      </c>
      <c r="E183" s="62">
        <v>0.91</v>
      </c>
      <c r="F183" s="62">
        <v>0.66</v>
      </c>
      <c r="G183" s="62">
        <v>0.66</v>
      </c>
      <c r="H183" s="62">
        <v>0.5</v>
      </c>
      <c r="I183" s="62">
        <v>0.5</v>
      </c>
      <c r="J183" s="78">
        <f>E183/323.351*100</f>
        <v>0.28142792197952071</v>
      </c>
      <c r="K183" s="4">
        <v>11</v>
      </c>
      <c r="L183" s="116" t="s">
        <v>88</v>
      </c>
      <c r="N183" s="4" t="s">
        <v>59</v>
      </c>
      <c r="O183" s="13"/>
      <c r="P183" s="5"/>
      <c r="Q183" s="5"/>
      <c r="R183" s="5"/>
      <c r="S183" s="5"/>
      <c r="T183" s="5"/>
      <c r="U183" s="5"/>
      <c r="V183" s="5"/>
    </row>
    <row r="184" spans="1:37">
      <c r="A184" s="7">
        <v>98</v>
      </c>
      <c r="B184" s="4" t="s">
        <v>153</v>
      </c>
      <c r="C184" s="62">
        <v>2.5670000000000002</v>
      </c>
      <c r="D184" s="62">
        <v>2.7229999999999999</v>
      </c>
      <c r="E184" s="62">
        <v>2.36</v>
      </c>
      <c r="F184" s="62">
        <v>1.6859999999999999</v>
      </c>
      <c r="G184" s="62">
        <v>1.6859999999999999</v>
      </c>
      <c r="H184" s="62">
        <v>1.6859999999999999</v>
      </c>
      <c r="I184" s="62">
        <v>1.6859999999999999</v>
      </c>
      <c r="J184" s="78">
        <f>E184/37.749*100</f>
        <v>6.2518212402977555</v>
      </c>
      <c r="K184" s="4">
        <v>11</v>
      </c>
      <c r="L184" s="116" t="s">
        <v>88</v>
      </c>
      <c r="M184" s="4" t="s">
        <v>59</v>
      </c>
      <c r="N184" s="4" t="s">
        <v>59</v>
      </c>
      <c r="O184" s="13"/>
      <c r="P184" s="5"/>
      <c r="Q184" s="5"/>
      <c r="R184" s="5"/>
      <c r="S184" s="5"/>
      <c r="T184" s="5"/>
      <c r="U184" s="5"/>
      <c r="V184" s="5"/>
    </row>
    <row r="185" spans="1:37" s="3" customFormat="1" ht="15">
      <c r="A185" s="87"/>
      <c r="B185" s="3" t="s">
        <v>116</v>
      </c>
      <c r="C185" s="12">
        <f>SUM(C181:C184)</f>
        <v>5.61</v>
      </c>
      <c r="D185" s="12">
        <f t="shared" ref="D185:I185" si="8">SUM(D181:D184)</f>
        <v>8.923</v>
      </c>
      <c r="E185" s="12">
        <f t="shared" si="8"/>
        <v>9.4779999999999998</v>
      </c>
      <c r="F185" s="12">
        <f t="shared" si="8"/>
        <v>8.3529999999999998</v>
      </c>
      <c r="G185" s="12">
        <f t="shared" si="8"/>
        <v>8.3529999999999998</v>
      </c>
      <c r="H185" s="12">
        <f t="shared" si="8"/>
        <v>8.1929999999999996</v>
      </c>
      <c r="I185" s="12">
        <f t="shared" si="8"/>
        <v>8.1929999999999996</v>
      </c>
      <c r="L185" s="1"/>
      <c r="O185" s="72"/>
      <c r="P185" s="6"/>
      <c r="Q185" s="6"/>
      <c r="R185" s="6"/>
      <c r="S185" s="6"/>
      <c r="T185" s="6"/>
      <c r="U185" s="6"/>
      <c r="V185" s="6"/>
    </row>
    <row r="186" spans="1:37">
      <c r="A186" s="7"/>
      <c r="C186" s="62"/>
      <c r="D186" s="62"/>
      <c r="E186" s="62"/>
      <c r="F186" s="62"/>
      <c r="G186" s="62"/>
      <c r="H186" s="62"/>
      <c r="I186" s="62"/>
      <c r="O186" s="13"/>
    </row>
    <row r="187" spans="1:37" ht="15">
      <c r="A187" s="33"/>
      <c r="B187" s="29" t="s">
        <v>114</v>
      </c>
      <c r="C187" s="66"/>
      <c r="D187" s="66"/>
      <c r="E187" s="66"/>
      <c r="F187" s="66"/>
      <c r="G187" s="66"/>
      <c r="H187" s="66"/>
      <c r="I187" s="66"/>
      <c r="J187" s="33"/>
      <c r="K187" s="33"/>
      <c r="L187" s="113"/>
      <c r="M187" s="33"/>
      <c r="N187" s="33"/>
      <c r="O187" s="33"/>
    </row>
    <row r="188" spans="1:37">
      <c r="A188" s="143" t="s">
        <v>322</v>
      </c>
      <c r="B188" s="143" t="s">
        <v>296</v>
      </c>
      <c r="C188" s="146">
        <v>22</v>
      </c>
      <c r="D188" s="146">
        <v>22</v>
      </c>
      <c r="E188" s="146">
        <v>22</v>
      </c>
      <c r="F188" s="146">
        <v>22</v>
      </c>
      <c r="G188" s="146">
        <v>22</v>
      </c>
      <c r="H188" s="146">
        <v>22</v>
      </c>
      <c r="I188" s="146">
        <v>22</v>
      </c>
      <c r="J188" s="147">
        <v>3.3</v>
      </c>
      <c r="K188" s="153" t="s">
        <v>103</v>
      </c>
      <c r="L188" s="143" t="s">
        <v>141</v>
      </c>
      <c r="M188" s="143" t="s">
        <v>252</v>
      </c>
      <c r="N188" s="143" t="s">
        <v>58</v>
      </c>
      <c r="O188" s="73"/>
      <c r="P188" s="143"/>
      <c r="Q188" s="143"/>
      <c r="R188" s="146"/>
      <c r="S188" s="146"/>
      <c r="T188" s="146"/>
      <c r="U188" s="146"/>
      <c r="V188" s="146"/>
      <c r="W188" s="146"/>
      <c r="X188" s="146"/>
      <c r="Y188" s="147"/>
      <c r="Z188" s="153"/>
      <c r="AA188" s="143"/>
      <c r="AB188" s="143"/>
      <c r="AC188" s="143"/>
      <c r="AD188" s="73"/>
    </row>
    <row r="189" spans="1:37" s="3" customFormat="1" ht="15">
      <c r="A189" s="143" t="s">
        <v>228</v>
      </c>
      <c r="B189" s="143" t="s">
        <v>324</v>
      </c>
      <c r="C189" s="146">
        <v>15.4</v>
      </c>
      <c r="D189" s="146">
        <v>15.4</v>
      </c>
      <c r="E189" s="146">
        <v>15.4</v>
      </c>
      <c r="F189" s="146">
        <v>15.4</v>
      </c>
      <c r="G189" s="146">
        <v>15.4</v>
      </c>
      <c r="H189" s="146">
        <v>15.4</v>
      </c>
      <c r="I189" s="146">
        <v>15.4</v>
      </c>
      <c r="J189" s="147">
        <v>6.2</v>
      </c>
      <c r="K189" s="153" t="s">
        <v>103</v>
      </c>
      <c r="L189" s="143" t="s">
        <v>141</v>
      </c>
      <c r="M189" s="143" t="s">
        <v>41</v>
      </c>
      <c r="N189" s="143" t="s">
        <v>58</v>
      </c>
      <c r="O189" s="73"/>
      <c r="P189" s="143"/>
      <c r="Q189" s="143"/>
      <c r="R189" s="146"/>
      <c r="S189" s="146"/>
      <c r="T189" s="146"/>
      <c r="U189" s="146"/>
      <c r="V189" s="146"/>
      <c r="W189" s="146"/>
      <c r="X189" s="146"/>
      <c r="Y189" s="147"/>
      <c r="Z189" s="153"/>
      <c r="AA189" s="143"/>
      <c r="AB189" s="143"/>
      <c r="AC189" s="143"/>
      <c r="AD189" s="73"/>
      <c r="AE189" s="6"/>
      <c r="AF189" s="6"/>
      <c r="AG189" s="6"/>
      <c r="AH189" s="6"/>
      <c r="AI189" s="6"/>
      <c r="AJ189" s="6"/>
      <c r="AK189" s="6"/>
    </row>
    <row r="190" spans="1:37">
      <c r="A190" s="143" t="s">
        <v>235</v>
      </c>
      <c r="B190" s="143" t="s">
        <v>399</v>
      </c>
      <c r="C190" s="146">
        <v>2.802</v>
      </c>
      <c r="D190" s="146">
        <v>3.5470000000000002</v>
      </c>
      <c r="E190" s="146">
        <v>0</v>
      </c>
      <c r="F190" s="146">
        <v>0</v>
      </c>
      <c r="G190" s="146">
        <v>0</v>
      </c>
      <c r="H190" s="146">
        <v>0</v>
      </c>
      <c r="I190" s="146">
        <v>0</v>
      </c>
      <c r="J190" s="147">
        <v>0</v>
      </c>
      <c r="K190" s="153">
        <v>7</v>
      </c>
      <c r="L190" s="143" t="s">
        <v>136</v>
      </c>
      <c r="M190" s="143" t="s">
        <v>9</v>
      </c>
      <c r="N190" s="143" t="s">
        <v>58</v>
      </c>
      <c r="O190" s="73"/>
      <c r="P190" s="143"/>
      <c r="Q190" s="143"/>
      <c r="R190" s="146"/>
      <c r="S190" s="146"/>
      <c r="T190" s="146"/>
      <c r="U190" s="146"/>
      <c r="V190" s="146"/>
      <c r="W190" s="146"/>
      <c r="X190" s="146"/>
      <c r="Y190" s="147"/>
      <c r="Z190" s="153"/>
      <c r="AA190" s="143"/>
      <c r="AB190" s="143"/>
      <c r="AC190" s="143"/>
      <c r="AD190" s="73"/>
      <c r="AE190" s="5"/>
      <c r="AF190" s="5"/>
      <c r="AG190" s="5"/>
      <c r="AH190" s="5"/>
      <c r="AI190" s="5"/>
      <c r="AJ190" s="5"/>
      <c r="AK190" s="5"/>
    </row>
    <row r="191" spans="1:37" s="3" customFormat="1" ht="15">
      <c r="A191" s="143" t="s">
        <v>235</v>
      </c>
      <c r="B191" s="143" t="s">
        <v>236</v>
      </c>
      <c r="C191" s="146">
        <v>17.207999999999998</v>
      </c>
      <c r="D191" s="146">
        <v>17.239999999999998</v>
      </c>
      <c r="E191" s="146">
        <v>17.239999999999998</v>
      </c>
      <c r="F191" s="146">
        <v>17.239999999999998</v>
      </c>
      <c r="G191" s="146">
        <v>17.239999999999998</v>
      </c>
      <c r="H191" s="146">
        <v>17.239999999999998</v>
      </c>
      <c r="I191" s="146">
        <v>17.239999999999998</v>
      </c>
      <c r="J191" s="147">
        <v>11.2</v>
      </c>
      <c r="K191" s="153">
        <v>7</v>
      </c>
      <c r="L191" s="143" t="s">
        <v>136</v>
      </c>
      <c r="M191" s="143" t="s">
        <v>237</v>
      </c>
      <c r="N191" s="143" t="s">
        <v>58</v>
      </c>
      <c r="O191" s="73"/>
      <c r="P191" s="143"/>
      <c r="Q191" s="143"/>
      <c r="R191" s="146"/>
      <c r="S191" s="146"/>
      <c r="T191" s="146"/>
      <c r="U191" s="146"/>
      <c r="V191" s="146"/>
      <c r="W191" s="146"/>
      <c r="X191" s="146"/>
      <c r="Y191" s="147"/>
      <c r="Z191" s="153"/>
      <c r="AA191" s="143"/>
      <c r="AB191" s="143"/>
      <c r="AC191" s="143"/>
      <c r="AD191" s="73"/>
    </row>
    <row r="192" spans="1:37">
      <c r="A192" s="143" t="s">
        <v>235</v>
      </c>
      <c r="B192" s="143" t="s">
        <v>327</v>
      </c>
      <c r="C192" s="146">
        <v>5.1130000000000004</v>
      </c>
      <c r="D192" s="146">
        <v>5.4119999999999999</v>
      </c>
      <c r="E192" s="146">
        <v>5.4119999999999999</v>
      </c>
      <c r="F192" s="146">
        <v>5.4119999999999999</v>
      </c>
      <c r="G192" s="146">
        <v>5.4119999999999999</v>
      </c>
      <c r="H192" s="146">
        <v>5.4119999999999999</v>
      </c>
      <c r="I192" s="146">
        <v>5.4119999999999999</v>
      </c>
      <c r="J192" s="147">
        <v>3.5</v>
      </c>
      <c r="K192" s="153">
        <v>7</v>
      </c>
      <c r="L192" s="143" t="s">
        <v>136</v>
      </c>
      <c r="M192" s="143" t="s">
        <v>9</v>
      </c>
      <c r="N192" s="143" t="s">
        <v>58</v>
      </c>
      <c r="O192" s="73"/>
      <c r="P192" s="143"/>
      <c r="Q192" s="143"/>
      <c r="R192" s="146"/>
      <c r="S192" s="146"/>
      <c r="T192" s="146"/>
      <c r="U192" s="146"/>
      <c r="V192" s="146"/>
      <c r="W192" s="146"/>
      <c r="X192" s="146"/>
      <c r="Y192" s="147"/>
      <c r="Z192" s="153"/>
      <c r="AA192" s="143"/>
      <c r="AB192" s="143"/>
      <c r="AC192" s="143"/>
      <c r="AD192" s="73"/>
    </row>
    <row r="193" spans="1:37">
      <c r="A193" s="143" t="s">
        <v>226</v>
      </c>
      <c r="B193" s="143" t="s">
        <v>234</v>
      </c>
      <c r="C193" s="146">
        <v>5.835</v>
      </c>
      <c r="D193" s="146">
        <v>6.1210000000000004</v>
      </c>
      <c r="E193" s="146">
        <v>5.6820000000000004</v>
      </c>
      <c r="F193" s="146">
        <v>5.149</v>
      </c>
      <c r="G193" s="146">
        <v>5.0190000000000001</v>
      </c>
      <c r="H193" s="146">
        <v>5.0190000000000001</v>
      </c>
      <c r="I193" s="146">
        <v>5.0190000000000001</v>
      </c>
      <c r="J193" s="147">
        <v>3.8</v>
      </c>
      <c r="K193" s="153">
        <v>7</v>
      </c>
      <c r="L193" s="143" t="s">
        <v>136</v>
      </c>
      <c r="M193" s="143" t="s">
        <v>142</v>
      </c>
      <c r="N193" s="143" t="s">
        <v>58</v>
      </c>
      <c r="O193" s="73"/>
      <c r="P193" s="143"/>
      <c r="Q193" s="143"/>
      <c r="R193" s="146"/>
      <c r="S193" s="146"/>
      <c r="T193" s="146"/>
      <c r="U193" s="146"/>
      <c r="V193" s="146"/>
      <c r="W193" s="146"/>
      <c r="X193" s="146"/>
      <c r="Y193" s="147"/>
      <c r="Z193" s="153"/>
      <c r="AA193" s="143"/>
      <c r="AB193" s="143"/>
      <c r="AC193" s="143"/>
      <c r="AD193" s="73"/>
    </row>
    <row r="194" spans="1:37">
      <c r="A194" s="143" t="s">
        <v>294</v>
      </c>
      <c r="B194" s="143" t="s">
        <v>300</v>
      </c>
      <c r="C194" s="146">
        <v>13.9</v>
      </c>
      <c r="D194" s="146">
        <v>11.9</v>
      </c>
      <c r="E194" s="146">
        <v>10.9</v>
      </c>
      <c r="F194" s="146">
        <v>10.9</v>
      </c>
      <c r="G194" s="146">
        <v>10.9</v>
      </c>
      <c r="H194" s="146">
        <v>10.9</v>
      </c>
      <c r="I194" s="146">
        <v>10.9</v>
      </c>
      <c r="J194" s="147">
        <v>60.4</v>
      </c>
      <c r="K194" s="153" t="s">
        <v>103</v>
      </c>
      <c r="L194" s="143" t="s">
        <v>141</v>
      </c>
      <c r="M194" s="143" t="s">
        <v>41</v>
      </c>
      <c r="N194" s="143" t="s">
        <v>58</v>
      </c>
      <c r="O194" s="73"/>
      <c r="P194" s="143"/>
      <c r="Q194" s="143"/>
      <c r="R194" s="146"/>
      <c r="S194" s="146"/>
      <c r="T194" s="146"/>
      <c r="U194" s="146"/>
      <c r="V194" s="146"/>
      <c r="W194" s="146"/>
      <c r="X194" s="146"/>
      <c r="Y194" s="147"/>
      <c r="Z194" s="153"/>
      <c r="AA194" s="143"/>
      <c r="AB194" s="143"/>
      <c r="AC194" s="143"/>
      <c r="AD194" s="73"/>
    </row>
    <row r="195" spans="1:37">
      <c r="A195" s="143" t="s">
        <v>458</v>
      </c>
      <c r="B195" s="143" t="s">
        <v>230</v>
      </c>
      <c r="C195" s="146">
        <v>5.28</v>
      </c>
      <c r="D195" s="146">
        <v>5.55</v>
      </c>
      <c r="E195" s="146">
        <v>6.0579999999999998</v>
      </c>
      <c r="F195" s="146">
        <v>6.1790000000000003</v>
      </c>
      <c r="G195" s="146">
        <v>6.3029999999999999</v>
      </c>
      <c r="H195" s="146">
        <v>6.4290000000000003</v>
      </c>
      <c r="I195" s="146">
        <v>6.5579999999999998</v>
      </c>
      <c r="J195" s="147">
        <f>0.349003341398779*100</f>
        <v>34.900334139877899</v>
      </c>
      <c r="K195" s="153">
        <v>11</v>
      </c>
      <c r="L195" s="143" t="s">
        <v>88</v>
      </c>
      <c r="M195" s="143" t="s">
        <v>231</v>
      </c>
      <c r="N195" s="143" t="s">
        <v>58</v>
      </c>
      <c r="O195" s="73"/>
      <c r="P195" s="143"/>
      <c r="Q195" s="143"/>
      <c r="R195" s="146"/>
      <c r="S195" s="146"/>
      <c r="T195" s="146"/>
      <c r="U195" s="146"/>
      <c r="V195" s="146"/>
      <c r="W195" s="146"/>
      <c r="X195" s="146"/>
      <c r="Y195" s="147"/>
      <c r="Z195" s="153"/>
      <c r="AA195" s="143"/>
      <c r="AB195" s="143"/>
      <c r="AC195" s="143"/>
      <c r="AD195" s="73"/>
    </row>
    <row r="196" spans="1:37">
      <c r="A196" s="143" t="s">
        <v>228</v>
      </c>
      <c r="B196" s="143" t="s">
        <v>323</v>
      </c>
      <c r="C196" s="146">
        <v>0.79999999999999982</v>
      </c>
      <c r="D196" s="146">
        <v>0.79999999999999982</v>
      </c>
      <c r="E196" s="146">
        <v>-0.70000000000000018</v>
      </c>
      <c r="F196" s="146">
        <v>-3.5</v>
      </c>
      <c r="G196" s="146">
        <v>0</v>
      </c>
      <c r="H196" s="146">
        <v>0</v>
      </c>
      <c r="I196" s="146">
        <v>0</v>
      </c>
      <c r="J196" s="147">
        <v>0.18066357731949401</v>
      </c>
      <c r="K196" s="153">
        <v>7</v>
      </c>
      <c r="L196" s="143" t="s">
        <v>136</v>
      </c>
      <c r="M196" s="143" t="s">
        <v>9</v>
      </c>
      <c r="N196" s="143" t="s">
        <v>59</v>
      </c>
      <c r="O196" s="73"/>
      <c r="P196" s="143"/>
      <c r="Q196" s="143"/>
      <c r="R196" s="146"/>
      <c r="S196" s="146"/>
      <c r="T196" s="146"/>
      <c r="U196" s="146"/>
      <c r="V196" s="146"/>
      <c r="W196" s="146"/>
      <c r="X196" s="146"/>
      <c r="Y196" s="147"/>
      <c r="Z196" s="153"/>
      <c r="AA196" s="143"/>
      <c r="AB196" s="143"/>
      <c r="AC196" s="143"/>
      <c r="AD196" s="73"/>
    </row>
    <row r="197" spans="1:37">
      <c r="A197" s="143" t="s">
        <v>238</v>
      </c>
      <c r="B197" s="143" t="s">
        <v>397</v>
      </c>
      <c r="C197" s="146">
        <v>2.2080000000000002</v>
      </c>
      <c r="D197" s="146">
        <v>2.7269999999999999</v>
      </c>
      <c r="E197" s="146">
        <v>2.226</v>
      </c>
      <c r="F197" s="146">
        <v>2.1469999999999998</v>
      </c>
      <c r="G197" s="146">
        <v>2.1469999999999998</v>
      </c>
      <c r="H197" s="146">
        <v>2.1469999999999998</v>
      </c>
      <c r="I197" s="146">
        <v>2.1469999999999998</v>
      </c>
      <c r="J197" s="147">
        <v>13.3</v>
      </c>
      <c r="K197" s="153">
        <v>7</v>
      </c>
      <c r="L197" s="143" t="s">
        <v>136</v>
      </c>
      <c r="M197" s="143" t="s">
        <v>59</v>
      </c>
      <c r="N197" s="143" t="s">
        <v>59</v>
      </c>
      <c r="O197" s="73"/>
      <c r="P197" s="143"/>
      <c r="Q197" s="143"/>
      <c r="R197" s="146"/>
      <c r="S197" s="146"/>
      <c r="T197" s="146"/>
      <c r="U197" s="146"/>
      <c r="V197" s="146"/>
      <c r="W197" s="146"/>
      <c r="X197" s="146"/>
      <c r="Y197" s="147"/>
      <c r="Z197" s="153"/>
      <c r="AA197" s="143"/>
      <c r="AB197" s="143"/>
      <c r="AC197" s="143"/>
      <c r="AD197" s="73"/>
    </row>
    <row r="198" spans="1:37">
      <c r="A198" s="143" t="s">
        <v>235</v>
      </c>
      <c r="B198" s="143" t="s">
        <v>325</v>
      </c>
      <c r="C198" s="146">
        <v>6.8550000000000004</v>
      </c>
      <c r="D198" s="146">
        <v>7.742</v>
      </c>
      <c r="E198" s="146">
        <v>1.085</v>
      </c>
      <c r="F198" s="146">
        <v>0</v>
      </c>
      <c r="G198" s="146">
        <v>0</v>
      </c>
      <c r="H198" s="146">
        <v>0</v>
      </c>
      <c r="I198" s="146">
        <v>0</v>
      </c>
      <c r="J198" s="147">
        <v>0.7</v>
      </c>
      <c r="K198" s="153">
        <v>7</v>
      </c>
      <c r="L198" s="143" t="s">
        <v>136</v>
      </c>
      <c r="M198" s="143" t="s">
        <v>9</v>
      </c>
      <c r="N198" s="143" t="s">
        <v>59</v>
      </c>
      <c r="O198" s="73"/>
      <c r="P198" s="143"/>
      <c r="Q198" s="143"/>
      <c r="R198" s="146"/>
      <c r="S198" s="146"/>
      <c r="T198" s="146"/>
      <c r="U198" s="146"/>
      <c r="V198" s="146"/>
      <c r="W198" s="146"/>
      <c r="X198" s="146"/>
      <c r="Y198" s="147"/>
      <c r="Z198" s="153"/>
      <c r="AA198" s="143"/>
      <c r="AB198" s="143"/>
      <c r="AC198" s="143"/>
      <c r="AD198" s="73"/>
    </row>
    <row r="199" spans="1:37">
      <c r="A199" s="143" t="s">
        <v>235</v>
      </c>
      <c r="B199" s="143" t="s">
        <v>326</v>
      </c>
      <c r="C199" s="146">
        <v>0</v>
      </c>
      <c r="D199" s="146">
        <v>0</v>
      </c>
      <c r="E199" s="146">
        <v>2</v>
      </c>
      <c r="F199" s="146">
        <v>2</v>
      </c>
      <c r="G199" s="146">
        <v>2</v>
      </c>
      <c r="H199" s="146">
        <v>2</v>
      </c>
      <c r="I199" s="146">
        <v>2</v>
      </c>
      <c r="J199" s="147">
        <v>1.3</v>
      </c>
      <c r="K199" s="153">
        <v>7</v>
      </c>
      <c r="L199" s="143" t="s">
        <v>136</v>
      </c>
      <c r="M199" s="143" t="s">
        <v>9</v>
      </c>
      <c r="N199" s="143" t="s">
        <v>59</v>
      </c>
      <c r="O199" s="73"/>
      <c r="P199" s="143"/>
      <c r="Q199" s="143"/>
      <c r="R199" s="146"/>
      <c r="S199" s="146"/>
      <c r="T199" s="146"/>
      <c r="U199" s="146"/>
      <c r="V199" s="146"/>
      <c r="W199" s="146"/>
      <c r="X199" s="146"/>
      <c r="Y199" s="147"/>
      <c r="Z199" s="153"/>
      <c r="AA199" s="143"/>
      <c r="AB199" s="143"/>
      <c r="AC199" s="143"/>
      <c r="AD199" s="73"/>
    </row>
    <row r="200" spans="1:37">
      <c r="A200" s="143" t="s">
        <v>398</v>
      </c>
      <c r="B200" s="143" t="s">
        <v>457</v>
      </c>
      <c r="C200" s="146">
        <v>22.541</v>
      </c>
      <c r="D200" s="146">
        <v>5.5979999999999999</v>
      </c>
      <c r="E200" s="146">
        <v>6.9329999999999998</v>
      </c>
      <c r="F200" s="146">
        <v>0</v>
      </c>
      <c r="G200" s="146">
        <v>0</v>
      </c>
      <c r="H200" s="146">
        <v>0</v>
      </c>
      <c r="I200" s="146">
        <v>0</v>
      </c>
      <c r="J200" s="147">
        <f>0.0646367272354351*100</f>
        <v>6.4636727235435103</v>
      </c>
      <c r="K200" s="153">
        <v>7</v>
      </c>
      <c r="L200" s="143" t="s">
        <v>136</v>
      </c>
      <c r="M200" s="143" t="s">
        <v>9</v>
      </c>
      <c r="N200" s="143" t="s">
        <v>59</v>
      </c>
      <c r="O200" s="73"/>
      <c r="P200" s="143"/>
      <c r="Q200" s="143"/>
      <c r="R200" s="146"/>
      <c r="S200" s="146"/>
      <c r="T200" s="146"/>
      <c r="U200" s="146"/>
      <c r="V200" s="146"/>
      <c r="W200" s="146"/>
      <c r="X200" s="146"/>
      <c r="Y200" s="147"/>
      <c r="Z200" s="153"/>
      <c r="AA200" s="143"/>
      <c r="AB200" s="143"/>
      <c r="AC200" s="143"/>
      <c r="AD200" s="73"/>
    </row>
    <row r="201" spans="1:37">
      <c r="A201" s="143" t="s">
        <v>226</v>
      </c>
      <c r="B201" s="143" t="s">
        <v>234</v>
      </c>
      <c r="C201" s="146">
        <v>96.531000000000006</v>
      </c>
      <c r="D201" s="146">
        <v>108.31399999999999</v>
      </c>
      <c r="E201" s="146">
        <v>115.16800000000001</v>
      </c>
      <c r="F201" s="146">
        <v>119.833</v>
      </c>
      <c r="G201" s="146">
        <v>121.446</v>
      </c>
      <c r="H201" s="146">
        <v>113.611</v>
      </c>
      <c r="I201" s="146">
        <v>102.185</v>
      </c>
      <c r="J201" s="147">
        <f>0.779273152941017*100</f>
        <v>77.927315294101689</v>
      </c>
      <c r="K201" s="153">
        <v>7</v>
      </c>
      <c r="L201" s="143" t="s">
        <v>136</v>
      </c>
      <c r="M201" s="143" t="s">
        <v>227</v>
      </c>
      <c r="N201" s="143" t="s">
        <v>59</v>
      </c>
      <c r="O201" s="73"/>
      <c r="P201" s="143"/>
      <c r="Q201" s="143"/>
      <c r="R201" s="146"/>
      <c r="S201" s="146"/>
      <c r="T201" s="146"/>
      <c r="U201" s="146"/>
      <c r="V201" s="146"/>
      <c r="W201" s="146"/>
      <c r="X201" s="146"/>
      <c r="Y201" s="147"/>
      <c r="Z201" s="153"/>
      <c r="AA201" s="143"/>
      <c r="AB201" s="143"/>
      <c r="AC201" s="143"/>
      <c r="AD201" s="73"/>
    </row>
    <row r="202" spans="1:37">
      <c r="A202" s="143" t="s">
        <v>226</v>
      </c>
      <c r="B202" s="143" t="s">
        <v>328</v>
      </c>
      <c r="C202" s="146">
        <v>17.2</v>
      </c>
      <c r="D202" s="146">
        <v>14.6</v>
      </c>
      <c r="E202" s="146">
        <v>12.6</v>
      </c>
      <c r="F202" s="146">
        <v>10.5</v>
      </c>
      <c r="G202" s="146">
        <v>9.3000000000000007</v>
      </c>
      <c r="H202" s="146">
        <v>9.6</v>
      </c>
      <c r="I202" s="146">
        <v>10.3</v>
      </c>
      <c r="J202" s="147">
        <f>0.0852566835150113*100</f>
        <v>8.52566835150113</v>
      </c>
      <c r="K202" s="153">
        <v>7</v>
      </c>
      <c r="L202" s="143" t="s">
        <v>136</v>
      </c>
      <c r="M202" s="143" t="s">
        <v>227</v>
      </c>
      <c r="N202" s="143" t="s">
        <v>59</v>
      </c>
      <c r="O202" s="73"/>
      <c r="P202" s="143"/>
      <c r="Q202" s="143"/>
      <c r="R202" s="146"/>
      <c r="S202" s="146"/>
      <c r="T202" s="146"/>
      <c r="U202" s="146"/>
      <c r="V202" s="146"/>
      <c r="W202" s="146"/>
      <c r="X202" s="146"/>
      <c r="Y202" s="147"/>
      <c r="Z202" s="153"/>
      <c r="AA202" s="143"/>
      <c r="AB202" s="143"/>
      <c r="AC202" s="143"/>
      <c r="AD202" s="73"/>
    </row>
    <row r="203" spans="1:37">
      <c r="A203" s="143" t="s">
        <v>232</v>
      </c>
      <c r="B203" s="143" t="s">
        <v>233</v>
      </c>
      <c r="C203" s="146">
        <v>0.25</v>
      </c>
      <c r="D203" s="146">
        <v>0</v>
      </c>
      <c r="E203" s="146">
        <v>0</v>
      </c>
      <c r="F203" s="146">
        <v>0</v>
      </c>
      <c r="G203" s="146">
        <v>0</v>
      </c>
      <c r="H203" s="146">
        <v>0</v>
      </c>
      <c r="I203" s="146">
        <v>0</v>
      </c>
      <c r="J203" s="147">
        <v>0</v>
      </c>
      <c r="K203" s="153">
        <v>7</v>
      </c>
      <c r="L203" s="143" t="s">
        <v>136</v>
      </c>
      <c r="M203" s="143" t="s">
        <v>59</v>
      </c>
      <c r="N203" s="143" t="s">
        <v>59</v>
      </c>
      <c r="O203" s="73"/>
      <c r="P203" s="143"/>
      <c r="Q203" s="143"/>
      <c r="R203" s="146"/>
      <c r="S203" s="146"/>
      <c r="T203" s="146"/>
      <c r="U203" s="146"/>
      <c r="V203" s="146"/>
      <c r="W203" s="146"/>
      <c r="X203" s="146"/>
      <c r="Y203" s="147"/>
      <c r="Z203" s="153"/>
      <c r="AA203" s="143"/>
      <c r="AB203" s="143"/>
      <c r="AC203" s="143"/>
      <c r="AD203" s="73"/>
    </row>
    <row r="204" spans="1:37">
      <c r="A204" s="143" t="s">
        <v>232</v>
      </c>
      <c r="B204" s="143" t="s">
        <v>233</v>
      </c>
      <c r="C204" s="146">
        <v>0.6</v>
      </c>
      <c r="D204" s="146">
        <v>0.53600000000000003</v>
      </c>
      <c r="E204" s="146">
        <v>0</v>
      </c>
      <c r="F204" s="146">
        <v>0</v>
      </c>
      <c r="G204" s="146">
        <v>0</v>
      </c>
      <c r="H204" s="146">
        <v>0</v>
      </c>
      <c r="I204" s="146">
        <v>0</v>
      </c>
      <c r="J204" s="147">
        <v>0</v>
      </c>
      <c r="K204" s="153">
        <v>7</v>
      </c>
      <c r="L204" s="143" t="s">
        <v>136</v>
      </c>
      <c r="M204" s="143" t="s">
        <v>26</v>
      </c>
      <c r="N204" s="143" t="s">
        <v>59</v>
      </c>
      <c r="O204" s="73"/>
      <c r="P204" s="143"/>
      <c r="Q204" s="143"/>
      <c r="R204" s="146"/>
      <c r="S204" s="146"/>
      <c r="T204" s="146"/>
      <c r="U204" s="146"/>
      <c r="V204" s="146"/>
      <c r="W204" s="146"/>
      <c r="X204" s="146"/>
      <c r="Y204" s="147"/>
      <c r="Z204" s="153"/>
      <c r="AA204" s="143"/>
      <c r="AB204" s="143"/>
      <c r="AC204" s="143"/>
      <c r="AD204" s="73"/>
    </row>
    <row r="205" spans="1:37">
      <c r="A205" s="143" t="s">
        <v>458</v>
      </c>
      <c r="B205" s="143" t="s">
        <v>229</v>
      </c>
      <c r="C205" s="146">
        <v>3.6080000000000001</v>
      </c>
      <c r="D205" s="146">
        <v>4.0540000000000003</v>
      </c>
      <c r="E205" s="146">
        <v>2.714</v>
      </c>
      <c r="F205" s="146">
        <v>0.92500000000000004</v>
      </c>
      <c r="G205" s="146">
        <v>0.92500000000000004</v>
      </c>
      <c r="H205" s="146">
        <v>0.92500000000000004</v>
      </c>
      <c r="I205" s="146">
        <v>0.92500000000000004</v>
      </c>
      <c r="J205" s="147">
        <f>0.156354418711833*100</f>
        <v>15.6354418711833</v>
      </c>
      <c r="K205" s="153">
        <v>11</v>
      </c>
      <c r="L205" s="143" t="s">
        <v>88</v>
      </c>
      <c r="M205" s="143" t="s">
        <v>9</v>
      </c>
      <c r="N205" s="143" t="s">
        <v>59</v>
      </c>
      <c r="O205" s="73"/>
      <c r="P205" s="143"/>
      <c r="Q205" s="143"/>
      <c r="R205" s="146"/>
      <c r="S205" s="146"/>
      <c r="T205" s="146"/>
      <c r="U205" s="146"/>
      <c r="V205" s="146"/>
      <c r="W205" s="146"/>
      <c r="X205" s="146"/>
      <c r="Y205" s="147"/>
      <c r="Z205" s="153"/>
      <c r="AA205" s="143"/>
      <c r="AB205" s="143"/>
      <c r="AC205" s="143"/>
      <c r="AD205" s="73"/>
    </row>
    <row r="206" spans="1:37">
      <c r="A206" s="143" t="s">
        <v>458</v>
      </c>
      <c r="B206" s="143" t="s">
        <v>229</v>
      </c>
      <c r="C206" s="146">
        <v>0.19800000000000001</v>
      </c>
      <c r="D206" s="146">
        <v>0.222</v>
      </c>
      <c r="E206" s="146">
        <v>0.14899999999999999</v>
      </c>
      <c r="F206" s="146">
        <v>5.0999999999999997E-2</v>
      </c>
      <c r="G206" s="146">
        <v>5.0999999999999997E-2</v>
      </c>
      <c r="H206" s="146">
        <v>5.0999999999999997E-2</v>
      </c>
      <c r="I206" s="146">
        <v>5.0999999999999997E-2</v>
      </c>
      <c r="J206" s="147">
        <f>0.00858393824173292*100</f>
        <v>0.85839382417329191</v>
      </c>
      <c r="K206" s="153">
        <v>11</v>
      </c>
      <c r="L206" s="143" t="s">
        <v>88</v>
      </c>
      <c r="M206" s="143" t="s">
        <v>14</v>
      </c>
      <c r="N206" s="143" t="s">
        <v>59</v>
      </c>
      <c r="O206" s="73"/>
      <c r="P206" s="143"/>
      <c r="Q206" s="143"/>
      <c r="R206" s="146"/>
      <c r="S206" s="146"/>
      <c r="T206" s="146"/>
      <c r="U206" s="146"/>
      <c r="V206" s="146"/>
      <c r="W206" s="146"/>
      <c r="X206" s="146"/>
      <c r="Y206" s="147"/>
      <c r="Z206" s="153"/>
      <c r="AA206" s="143"/>
      <c r="AB206" s="143"/>
      <c r="AC206" s="143"/>
      <c r="AD206" s="73"/>
    </row>
    <row r="207" spans="1:37">
      <c r="A207" s="143" t="s">
        <v>458</v>
      </c>
      <c r="B207" s="143" t="s">
        <v>229</v>
      </c>
      <c r="C207" s="146">
        <v>9.6000000000000002E-2</v>
      </c>
      <c r="D207" s="146">
        <v>0.108</v>
      </c>
      <c r="E207" s="146">
        <v>7.1999999999999995E-2</v>
      </c>
      <c r="F207" s="146">
        <v>2.4E-2</v>
      </c>
      <c r="G207" s="146">
        <v>2.4E-2</v>
      </c>
      <c r="H207" s="146">
        <v>2.4E-2</v>
      </c>
      <c r="I207" s="146">
        <v>2.4E-2</v>
      </c>
      <c r="J207" s="147">
        <f>0.00414794331144141*100</f>
        <v>0.41479433114414105</v>
      </c>
      <c r="K207" s="153">
        <v>11</v>
      </c>
      <c r="L207" s="143" t="s">
        <v>88</v>
      </c>
      <c r="M207" s="143" t="s">
        <v>100</v>
      </c>
      <c r="N207" s="143" t="s">
        <v>59</v>
      </c>
      <c r="O207" s="73"/>
      <c r="P207" s="143"/>
      <c r="Q207" s="143"/>
      <c r="R207" s="146"/>
      <c r="S207" s="146"/>
      <c r="T207" s="146"/>
      <c r="U207" s="146"/>
      <c r="V207" s="146"/>
      <c r="W207" s="146"/>
      <c r="X207" s="146"/>
      <c r="Y207" s="147"/>
      <c r="Z207" s="153"/>
      <c r="AA207" s="143"/>
      <c r="AB207" s="143"/>
      <c r="AC207" s="143"/>
      <c r="AD207" s="73"/>
    </row>
    <row r="208" spans="1:37" ht="15">
      <c r="A208" s="87"/>
      <c r="B208" s="87" t="s">
        <v>117</v>
      </c>
      <c r="C208" s="149">
        <f t="shared" ref="C208:I208" si="9">SUM(C188:C207)</f>
        <v>238.42500000000001</v>
      </c>
      <c r="D208" s="149">
        <f t="shared" si="9"/>
        <v>231.87100000000001</v>
      </c>
      <c r="E208" s="149">
        <f t="shared" si="9"/>
        <v>224.93899999999999</v>
      </c>
      <c r="F208" s="149">
        <f t="shared" si="9"/>
        <v>214.26</v>
      </c>
      <c r="G208" s="149">
        <f t="shared" si="9"/>
        <v>218.16700000000003</v>
      </c>
      <c r="H208" s="149">
        <f t="shared" si="9"/>
        <v>210.75800000000001</v>
      </c>
      <c r="I208" s="149">
        <f t="shared" si="9"/>
        <v>200.161</v>
      </c>
      <c r="J208" s="87"/>
      <c r="K208" s="87"/>
      <c r="L208" s="23"/>
      <c r="M208" s="87"/>
      <c r="N208" s="87"/>
      <c r="O208" s="152"/>
      <c r="P208" s="87"/>
      <c r="Q208" s="87"/>
      <c r="R208" s="149"/>
      <c r="S208" s="149"/>
      <c r="T208" s="149"/>
      <c r="U208" s="149"/>
      <c r="V208" s="149"/>
      <c r="W208" s="149"/>
      <c r="X208" s="149"/>
      <c r="Y208" s="87"/>
      <c r="Z208" s="87"/>
      <c r="AA208" s="23"/>
      <c r="AB208" s="87"/>
      <c r="AC208" s="87"/>
      <c r="AD208" s="152"/>
      <c r="AE208" s="5"/>
      <c r="AF208" s="5"/>
      <c r="AG208" s="5"/>
      <c r="AH208" s="5"/>
      <c r="AI208" s="5"/>
      <c r="AJ208" s="5"/>
      <c r="AK208" s="5"/>
    </row>
    <row r="209" spans="1:22">
      <c r="A209" s="7"/>
      <c r="C209" s="62"/>
      <c r="D209" s="62"/>
      <c r="E209" s="62"/>
      <c r="F209" s="62"/>
      <c r="G209" s="62"/>
      <c r="H209" s="62"/>
      <c r="I209" s="62"/>
      <c r="O209" s="13"/>
    </row>
    <row r="210" spans="1:22" ht="15.75">
      <c r="A210" s="34"/>
      <c r="B210" s="35" t="s">
        <v>115</v>
      </c>
      <c r="C210" s="36">
        <f>SUM(C6:C208)/2</f>
        <v>4880.7160549236742</v>
      </c>
      <c r="D210" s="36">
        <f t="shared" ref="D210:I210" si="10">SUM(D6:D208)/2</f>
        <v>5022.0759846232068</v>
      </c>
      <c r="E210" s="36">
        <f t="shared" si="10"/>
        <v>4887.2667532497189</v>
      </c>
      <c r="F210" s="36">
        <f t="shared" si="10"/>
        <v>4874.9466981088635</v>
      </c>
      <c r="G210" s="36">
        <f t="shared" si="10"/>
        <v>4819.3830822032942</v>
      </c>
      <c r="H210" s="36">
        <f t="shared" si="10"/>
        <v>4843.4907487067194</v>
      </c>
      <c r="I210" s="36">
        <f t="shared" si="10"/>
        <v>4834.1891710345963</v>
      </c>
      <c r="J210" s="14"/>
      <c r="K210" s="14"/>
      <c r="L210" s="14"/>
      <c r="M210" s="14"/>
      <c r="N210" s="14"/>
      <c r="O210" s="14"/>
    </row>
    <row r="211" spans="1:22">
      <c r="O211" s="13"/>
    </row>
    <row r="212" spans="1:22" ht="15">
      <c r="B212" s="3" t="s">
        <v>202</v>
      </c>
      <c r="O212" s="130"/>
      <c r="P212" s="5"/>
      <c r="Q212" s="5"/>
      <c r="R212" s="5"/>
      <c r="S212" s="5"/>
      <c r="T212" s="5"/>
      <c r="U212" s="5"/>
      <c r="V212" s="5"/>
    </row>
    <row r="213" spans="1:22">
      <c r="B213" s="23"/>
      <c r="C213" s="1">
        <f>C4</f>
        <v>2015</v>
      </c>
      <c r="D213" s="1">
        <f t="shared" ref="D213:I213" si="11">D4</f>
        <v>2016</v>
      </c>
      <c r="E213" s="1">
        <f t="shared" si="11"/>
        <v>2017</v>
      </c>
      <c r="F213" s="1">
        <f t="shared" si="11"/>
        <v>2018</v>
      </c>
      <c r="G213" s="1">
        <f t="shared" si="11"/>
        <v>2019</v>
      </c>
      <c r="H213" s="1">
        <f t="shared" si="11"/>
        <v>2020</v>
      </c>
      <c r="I213" s="1">
        <f t="shared" si="11"/>
        <v>2021</v>
      </c>
      <c r="K213" s="1" t="s">
        <v>451</v>
      </c>
      <c r="L213" s="71" t="s">
        <v>295</v>
      </c>
      <c r="O213" s="13"/>
    </row>
    <row r="214" spans="1:22">
      <c r="B214" s="7" t="s">
        <v>190</v>
      </c>
      <c r="C214" s="120">
        <f>C8</f>
        <v>0.58299999999999996</v>
      </c>
      <c r="D214" s="120">
        <f t="shared" ref="D214:I214" si="12">D8</f>
        <v>0.59399999999999997</v>
      </c>
      <c r="E214" s="120">
        <f t="shared" si="12"/>
        <v>0.59399999999999997</v>
      </c>
      <c r="F214" s="120">
        <f t="shared" si="12"/>
        <v>0.59399999999999997</v>
      </c>
      <c r="G214" s="120">
        <f t="shared" si="12"/>
        <v>0.59399999999999997</v>
      </c>
      <c r="H214" s="120">
        <f t="shared" si="12"/>
        <v>0.59399999999999997</v>
      </c>
      <c r="I214" s="120">
        <f t="shared" si="12"/>
        <v>0.59399999999999997</v>
      </c>
      <c r="K214" s="77">
        <f t="shared" ref="K214:K224" si="13">+I214-C214</f>
        <v>1.100000000000001E-2</v>
      </c>
      <c r="L214" s="78">
        <f t="shared" ref="L214:L224" si="14">+(I214-C214)/C214*100</f>
        <v>1.8867924528301903</v>
      </c>
      <c r="O214" s="13"/>
    </row>
    <row r="215" spans="1:22" s="1" customFormat="1">
      <c r="A215" s="4"/>
      <c r="B215" s="7" t="s">
        <v>191</v>
      </c>
      <c r="C215" s="120">
        <f>C17</f>
        <v>34.914000000000001</v>
      </c>
      <c r="D215" s="120">
        <f t="shared" ref="D215:I215" si="15">D17</f>
        <v>39.9</v>
      </c>
      <c r="E215" s="120">
        <f t="shared" si="15"/>
        <v>37.466000000000001</v>
      </c>
      <c r="F215" s="120">
        <f t="shared" si="15"/>
        <v>37.757000000000005</v>
      </c>
      <c r="G215" s="120">
        <f t="shared" si="15"/>
        <v>37.841999999999999</v>
      </c>
      <c r="H215" s="120">
        <f t="shared" si="15"/>
        <v>37.841999999999999</v>
      </c>
      <c r="I215" s="120">
        <f t="shared" si="15"/>
        <v>37.841999999999999</v>
      </c>
      <c r="J215" s="4"/>
      <c r="K215" s="77">
        <f t="shared" si="13"/>
        <v>2.9279999999999973</v>
      </c>
      <c r="L215" s="78">
        <f t="shared" si="14"/>
        <v>8.3863206736552591</v>
      </c>
      <c r="M215" s="4"/>
      <c r="N215" s="4"/>
      <c r="O215" s="13"/>
    </row>
    <row r="216" spans="1:22">
      <c r="B216" s="7" t="s">
        <v>192</v>
      </c>
      <c r="C216" s="120">
        <f>C24</f>
        <v>22.096</v>
      </c>
      <c r="D216" s="120">
        <f t="shared" ref="D216:I216" si="16">D24</f>
        <v>21.521000000000001</v>
      </c>
      <c r="E216" s="120">
        <f t="shared" si="16"/>
        <v>21.111000000000001</v>
      </c>
      <c r="F216" s="120">
        <f t="shared" si="16"/>
        <v>20.971999999999998</v>
      </c>
      <c r="G216" s="120">
        <f t="shared" si="16"/>
        <v>21.006999999999998</v>
      </c>
      <c r="H216" s="120">
        <f t="shared" si="16"/>
        <v>21.016999999999999</v>
      </c>
      <c r="I216" s="120">
        <f t="shared" si="16"/>
        <v>21.020000000000003</v>
      </c>
      <c r="K216" s="77">
        <f t="shared" si="13"/>
        <v>-1.075999999999997</v>
      </c>
      <c r="L216" s="78">
        <f t="shared" si="14"/>
        <v>-4.8696596669080234</v>
      </c>
      <c r="O216" s="13"/>
    </row>
    <row r="217" spans="1:22">
      <c r="B217" s="7" t="s">
        <v>193</v>
      </c>
      <c r="C217" s="120">
        <f>C30</f>
        <v>12.233000000000001</v>
      </c>
      <c r="D217" s="120">
        <f t="shared" ref="D217:I217" si="17">D30</f>
        <v>12.789</v>
      </c>
      <c r="E217" s="120">
        <f t="shared" si="17"/>
        <v>10.373999999999999</v>
      </c>
      <c r="F217" s="120">
        <f t="shared" si="17"/>
        <v>8.91</v>
      </c>
      <c r="G217" s="120">
        <f t="shared" si="17"/>
        <v>8.9459999999999997</v>
      </c>
      <c r="H217" s="120">
        <f t="shared" si="17"/>
        <v>9.26</v>
      </c>
      <c r="I217" s="120">
        <f t="shared" si="17"/>
        <v>10.66</v>
      </c>
      <c r="K217" s="77">
        <f t="shared" si="13"/>
        <v>-1.5730000000000004</v>
      </c>
      <c r="L217" s="78">
        <f t="shared" si="14"/>
        <v>-12.858660998937305</v>
      </c>
      <c r="O217" s="13"/>
    </row>
    <row r="218" spans="1:22">
      <c r="B218" s="7" t="s">
        <v>194</v>
      </c>
      <c r="C218" s="120">
        <f>C64</f>
        <v>3599.0105549236764</v>
      </c>
      <c r="D218" s="120">
        <f t="shared" ref="D218:I218" si="18">D64</f>
        <v>3668.4681846232079</v>
      </c>
      <c r="E218" s="120">
        <f t="shared" si="18"/>
        <v>3623.9829532497183</v>
      </c>
      <c r="F218" s="120">
        <f t="shared" si="18"/>
        <v>3628.3473981088641</v>
      </c>
      <c r="G218" s="120">
        <f t="shared" si="18"/>
        <v>3588.129382203294</v>
      </c>
      <c r="H218" s="120">
        <f t="shared" si="18"/>
        <v>3606.3926987067207</v>
      </c>
      <c r="I218" s="120">
        <f t="shared" si="18"/>
        <v>3615.9093210345964</v>
      </c>
      <c r="K218" s="77">
        <f t="shared" si="13"/>
        <v>16.898766110919951</v>
      </c>
      <c r="L218" s="78">
        <f t="shared" si="14"/>
        <v>0.46953922065611509</v>
      </c>
      <c r="O218" s="13"/>
    </row>
    <row r="219" spans="1:22">
      <c r="B219" s="7" t="s">
        <v>84</v>
      </c>
      <c r="C219" s="120">
        <f>C72</f>
        <v>61.612000000000002</v>
      </c>
      <c r="D219" s="120">
        <f t="shared" ref="D219:I219" si="19">D72</f>
        <v>60.69</v>
      </c>
      <c r="E219" s="120">
        <f t="shared" si="19"/>
        <v>60.469000000000008</v>
      </c>
      <c r="F219" s="120">
        <f t="shared" si="19"/>
        <v>60.472000000000001</v>
      </c>
      <c r="G219" s="120">
        <f t="shared" si="19"/>
        <v>60.472000000000001</v>
      </c>
      <c r="H219" s="120">
        <f t="shared" si="19"/>
        <v>60.472000000000001</v>
      </c>
      <c r="I219" s="120">
        <f t="shared" si="19"/>
        <v>60.472000000000001</v>
      </c>
      <c r="K219" s="77">
        <f t="shared" si="13"/>
        <v>-1.1400000000000006</v>
      </c>
      <c r="L219" s="78">
        <f t="shared" si="14"/>
        <v>-1.850288904758814</v>
      </c>
      <c r="O219" s="13"/>
    </row>
    <row r="220" spans="1:22">
      <c r="B220" s="7" t="s">
        <v>195</v>
      </c>
      <c r="C220" s="120">
        <f>C104</f>
        <v>70.566999999999993</v>
      </c>
      <c r="D220" s="120">
        <f t="shared" ref="D220:I220" si="20">D104</f>
        <v>70.936999999999998</v>
      </c>
      <c r="E220" s="120">
        <f t="shared" si="20"/>
        <v>69.131</v>
      </c>
      <c r="F220" s="120">
        <f t="shared" si="20"/>
        <v>56.354999999999997</v>
      </c>
      <c r="G220" s="120">
        <f t="shared" si="20"/>
        <v>56.202999999999989</v>
      </c>
      <c r="H220" s="120">
        <f t="shared" si="20"/>
        <v>57.011999999999986</v>
      </c>
      <c r="I220" s="120">
        <f t="shared" si="20"/>
        <v>51.852999999999994</v>
      </c>
      <c r="K220" s="77">
        <f t="shared" si="13"/>
        <v>-18.713999999999999</v>
      </c>
      <c r="L220" s="78">
        <f t="shared" si="14"/>
        <v>-26.519477942947837</v>
      </c>
      <c r="O220" s="13"/>
    </row>
    <row r="221" spans="1:22">
      <c r="B221" s="7" t="s">
        <v>196</v>
      </c>
      <c r="C221" s="120">
        <f>C178</f>
        <v>835.66549999999995</v>
      </c>
      <c r="D221" s="120">
        <f t="shared" ref="D221:I221" si="21">D178</f>
        <v>906.38279999999986</v>
      </c>
      <c r="E221" s="120">
        <f t="shared" si="21"/>
        <v>829.72180000000026</v>
      </c>
      <c r="F221" s="120">
        <f t="shared" si="21"/>
        <v>838.92630000000008</v>
      </c>
      <c r="G221" s="120">
        <f t="shared" si="21"/>
        <v>819.66970000000026</v>
      </c>
      <c r="H221" s="120">
        <f t="shared" si="21"/>
        <v>831.95005000000015</v>
      </c>
      <c r="I221" s="120">
        <f t="shared" si="21"/>
        <v>827.48485000000028</v>
      </c>
      <c r="K221" s="77">
        <f t="shared" si="13"/>
        <v>-8.1806499999996731</v>
      </c>
      <c r="L221" s="78">
        <f t="shared" si="14"/>
        <v>-0.97893834315281336</v>
      </c>
      <c r="O221" s="13"/>
    </row>
    <row r="222" spans="1:22">
      <c r="B222" s="7" t="s">
        <v>197</v>
      </c>
      <c r="C222" s="120">
        <f>C185</f>
        <v>5.61</v>
      </c>
      <c r="D222" s="120">
        <f t="shared" ref="D222:I222" si="22">D185</f>
        <v>8.923</v>
      </c>
      <c r="E222" s="120">
        <f t="shared" si="22"/>
        <v>9.4779999999999998</v>
      </c>
      <c r="F222" s="120">
        <f t="shared" si="22"/>
        <v>8.3529999999999998</v>
      </c>
      <c r="G222" s="120">
        <f t="shared" si="22"/>
        <v>8.3529999999999998</v>
      </c>
      <c r="H222" s="120">
        <f t="shared" si="22"/>
        <v>8.1929999999999996</v>
      </c>
      <c r="I222" s="120">
        <f t="shared" si="22"/>
        <v>8.1929999999999996</v>
      </c>
      <c r="K222" s="77">
        <f t="shared" si="13"/>
        <v>2.5829999999999993</v>
      </c>
      <c r="L222" s="78">
        <f t="shared" si="14"/>
        <v>46.042780748663084</v>
      </c>
      <c r="O222" s="13"/>
    </row>
    <row r="223" spans="1:22">
      <c r="B223" s="7" t="s">
        <v>198</v>
      </c>
      <c r="C223" s="120">
        <f>C208</f>
        <v>238.42500000000001</v>
      </c>
      <c r="D223" s="120">
        <f t="shared" ref="D223:I223" si="23">D208</f>
        <v>231.87100000000001</v>
      </c>
      <c r="E223" s="120">
        <f t="shared" si="23"/>
        <v>224.93899999999999</v>
      </c>
      <c r="F223" s="120">
        <f t="shared" si="23"/>
        <v>214.26</v>
      </c>
      <c r="G223" s="120">
        <f t="shared" si="23"/>
        <v>218.16700000000003</v>
      </c>
      <c r="H223" s="120">
        <f t="shared" si="23"/>
        <v>210.75800000000001</v>
      </c>
      <c r="I223" s="120">
        <f t="shared" si="23"/>
        <v>200.161</v>
      </c>
      <c r="K223" s="77">
        <f t="shared" si="13"/>
        <v>-38.26400000000001</v>
      </c>
      <c r="L223" s="78">
        <f t="shared" si="14"/>
        <v>-16.048652616126667</v>
      </c>
      <c r="O223" s="13"/>
    </row>
    <row r="224" spans="1:22">
      <c r="B224" s="23" t="s">
        <v>81</v>
      </c>
      <c r="C224" s="121">
        <f>SUM(C214:C223)</f>
        <v>4880.716054923676</v>
      </c>
      <c r="D224" s="121">
        <f t="shared" ref="D224:I224" si="24">SUM(D214:D223)</f>
        <v>5022.0759846232077</v>
      </c>
      <c r="E224" s="121">
        <f t="shared" si="24"/>
        <v>4887.2667532497189</v>
      </c>
      <c r="F224" s="121">
        <f t="shared" si="24"/>
        <v>4874.9466981088653</v>
      </c>
      <c r="G224" s="121">
        <f t="shared" si="24"/>
        <v>4819.3830822032951</v>
      </c>
      <c r="H224" s="121">
        <f t="shared" si="24"/>
        <v>4843.4907487067212</v>
      </c>
      <c r="I224" s="121">
        <f t="shared" si="24"/>
        <v>4834.1891710345972</v>
      </c>
      <c r="K224" s="79">
        <f t="shared" si="13"/>
        <v>-46.526883889078817</v>
      </c>
      <c r="L224" s="161">
        <f t="shared" si="14"/>
        <v>-0.95327987462295416</v>
      </c>
      <c r="O224" s="13"/>
    </row>
    <row r="225" spans="1:15">
      <c r="O225" s="13"/>
    </row>
    <row r="226" spans="1:15" ht="15">
      <c r="A226" s="3"/>
      <c r="B226" s="3"/>
      <c r="C226" s="6"/>
      <c r="D226" s="6"/>
      <c r="E226" s="6"/>
      <c r="F226" s="6"/>
      <c r="G226" s="6"/>
      <c r="H226" s="6"/>
      <c r="I226" s="6"/>
      <c r="J226" s="3"/>
      <c r="K226" s="3"/>
      <c r="L226" s="1"/>
      <c r="M226" s="3"/>
      <c r="N226" s="3"/>
    </row>
    <row r="227" spans="1:15" s="38" customFormat="1" ht="15">
      <c r="A227" s="122" t="s">
        <v>513</v>
      </c>
    </row>
    <row r="228" spans="1:15">
      <c r="B228" s="4" t="s">
        <v>209</v>
      </c>
    </row>
    <row r="229" spans="1:15" ht="15">
      <c r="B229" s="3" t="s">
        <v>560</v>
      </c>
    </row>
    <row r="230" spans="1:15">
      <c r="K230" s="4" t="s">
        <v>209</v>
      </c>
    </row>
    <row r="231" spans="1:15">
      <c r="B231" s="1" t="s">
        <v>245</v>
      </c>
      <c r="C231" s="1">
        <f t="shared" ref="C231:I231" si="25">C4</f>
        <v>2015</v>
      </c>
      <c r="D231" s="1">
        <f t="shared" si="25"/>
        <v>2016</v>
      </c>
      <c r="E231" s="1">
        <f t="shared" si="25"/>
        <v>2017</v>
      </c>
      <c r="F231" s="1">
        <f t="shared" si="25"/>
        <v>2018</v>
      </c>
      <c r="G231" s="1">
        <f t="shared" si="25"/>
        <v>2019</v>
      </c>
      <c r="H231" s="1">
        <f t="shared" si="25"/>
        <v>2020</v>
      </c>
      <c r="I231" s="1">
        <f t="shared" si="25"/>
        <v>2021</v>
      </c>
    </row>
    <row r="232" spans="1:15">
      <c r="B232" s="7" t="s">
        <v>190</v>
      </c>
      <c r="C232" s="78">
        <f>C7</f>
        <v>0.58299999999999996</v>
      </c>
      <c r="D232" s="78">
        <f t="shared" ref="D232:I232" si="26">D7</f>
        <v>0.59399999999999997</v>
      </c>
      <c r="E232" s="78">
        <f t="shared" si="26"/>
        <v>0.59399999999999997</v>
      </c>
      <c r="F232" s="78">
        <f t="shared" si="26"/>
        <v>0.59399999999999997</v>
      </c>
      <c r="G232" s="78">
        <f t="shared" si="26"/>
        <v>0.59399999999999997</v>
      </c>
      <c r="H232" s="78">
        <f t="shared" si="26"/>
        <v>0.59399999999999997</v>
      </c>
      <c r="I232" s="78">
        <f t="shared" si="26"/>
        <v>0.59399999999999997</v>
      </c>
    </row>
    <row r="233" spans="1:15">
      <c r="B233" s="7" t="s">
        <v>246</v>
      </c>
      <c r="C233" s="78">
        <f>SUM(C13:C16)</f>
        <v>34.688000000000002</v>
      </c>
      <c r="D233" s="78">
        <f t="shared" ref="D233:I233" si="27">SUM(D13:D16)</f>
        <v>39.667999999999999</v>
      </c>
      <c r="E233" s="78">
        <f t="shared" si="27"/>
        <v>37.224000000000004</v>
      </c>
      <c r="F233" s="78">
        <f t="shared" si="27"/>
        <v>37.515000000000001</v>
      </c>
      <c r="G233" s="78">
        <f t="shared" si="27"/>
        <v>37.599999999999994</v>
      </c>
      <c r="H233" s="78">
        <f t="shared" si="27"/>
        <v>37.599999999999994</v>
      </c>
      <c r="I233" s="78">
        <f t="shared" si="27"/>
        <v>37.599999999999994</v>
      </c>
    </row>
    <row r="234" spans="1:15">
      <c r="B234" s="7" t="s">
        <v>192</v>
      </c>
      <c r="C234" s="78">
        <f>SUM(C22:C23)</f>
        <v>5.431</v>
      </c>
      <c r="D234" s="78">
        <f t="shared" ref="D234:I234" si="28">SUM(D22:D23)</f>
        <v>4.9770000000000003</v>
      </c>
      <c r="E234" s="78">
        <f t="shared" si="28"/>
        <v>4.9250000000000007</v>
      </c>
      <c r="F234" s="78">
        <f t="shared" si="28"/>
        <v>4.9340000000000002</v>
      </c>
      <c r="G234" s="78">
        <f t="shared" si="28"/>
        <v>4.9350000000000005</v>
      </c>
      <c r="H234" s="78">
        <f t="shared" si="28"/>
        <v>4.9350000000000005</v>
      </c>
      <c r="I234" s="78">
        <f t="shared" si="28"/>
        <v>4.9379999999999997</v>
      </c>
    </row>
    <row r="235" spans="1:15">
      <c r="B235" s="7" t="s">
        <v>193</v>
      </c>
      <c r="C235" s="78">
        <f>SUM(C27:C29)</f>
        <v>12.233000000000001</v>
      </c>
      <c r="D235" s="78">
        <f t="shared" ref="D235:I235" si="29">SUM(D27:D29)</f>
        <v>12.789</v>
      </c>
      <c r="E235" s="78">
        <f t="shared" si="29"/>
        <v>10.373999999999999</v>
      </c>
      <c r="F235" s="78">
        <f t="shared" si="29"/>
        <v>8.91</v>
      </c>
      <c r="G235" s="78">
        <f t="shared" si="29"/>
        <v>8.9459999999999997</v>
      </c>
      <c r="H235" s="78">
        <f t="shared" si="29"/>
        <v>9.26</v>
      </c>
      <c r="I235" s="78">
        <f t="shared" si="29"/>
        <v>10.66</v>
      </c>
    </row>
    <row r="236" spans="1:15">
      <c r="B236" s="7" t="s">
        <v>194</v>
      </c>
      <c r="C236" s="78">
        <f>SUM(C51:C63)</f>
        <v>655.21382584320781</v>
      </c>
      <c r="D236" s="78">
        <f t="shared" ref="D236:I236" si="30">SUM(D51:D63)</f>
        <v>697.46499522666352</v>
      </c>
      <c r="E236" s="78">
        <f t="shared" si="30"/>
        <v>661.17326974950493</v>
      </c>
      <c r="F236" s="78">
        <f t="shared" si="30"/>
        <v>686.19889460864931</v>
      </c>
      <c r="G236" s="78">
        <f t="shared" si="30"/>
        <v>638.5998987030805</v>
      </c>
      <c r="H236" s="78">
        <f t="shared" si="30"/>
        <v>637.07443520650645</v>
      </c>
      <c r="I236" s="78">
        <f t="shared" si="30"/>
        <v>635.47363753438276</v>
      </c>
    </row>
    <row r="237" spans="1:15">
      <c r="B237" s="7" t="s">
        <v>84</v>
      </c>
      <c r="C237" s="78">
        <f>SUM(C69:C71)</f>
        <v>27.552</v>
      </c>
      <c r="D237" s="78">
        <f t="shared" ref="D237:I237" si="31">SUM(D69:D71)</f>
        <v>23.145</v>
      </c>
      <c r="E237" s="78">
        <f t="shared" si="31"/>
        <v>23.145</v>
      </c>
      <c r="F237" s="78">
        <f t="shared" si="31"/>
        <v>23.146999999999998</v>
      </c>
      <c r="G237" s="78">
        <f t="shared" si="31"/>
        <v>23.146999999999998</v>
      </c>
      <c r="H237" s="78">
        <f t="shared" si="31"/>
        <v>23.146999999999998</v>
      </c>
      <c r="I237" s="78">
        <f t="shared" si="31"/>
        <v>23.146999999999998</v>
      </c>
    </row>
    <row r="238" spans="1:15">
      <c r="B238" s="7" t="s">
        <v>195</v>
      </c>
      <c r="C238" s="78">
        <f>SUM(C91:C103)</f>
        <v>24.584000000000003</v>
      </c>
      <c r="D238" s="78">
        <f t="shared" ref="D238:I238" si="32">SUM(D91:D103)</f>
        <v>24.489000000000001</v>
      </c>
      <c r="E238" s="78">
        <f t="shared" si="32"/>
        <v>25.989000000000001</v>
      </c>
      <c r="F238" s="78">
        <f t="shared" si="32"/>
        <v>14.768000000000002</v>
      </c>
      <c r="G238" s="78">
        <f t="shared" si="32"/>
        <v>14.708</v>
      </c>
      <c r="H238" s="78">
        <f t="shared" si="32"/>
        <v>15.318000000000001</v>
      </c>
      <c r="I238" s="78">
        <f t="shared" si="32"/>
        <v>10.758000000000001</v>
      </c>
    </row>
    <row r="239" spans="1:15">
      <c r="B239" s="7" t="s">
        <v>196</v>
      </c>
      <c r="C239" s="78">
        <f>SUM(C111,C122:C150,C156:C165,C171:C175)</f>
        <v>430.23880000000003</v>
      </c>
      <c r="D239" s="78">
        <f t="shared" ref="D239:I239" si="33">SUM(D111,D122:D150,D156:D165,D171:D175)</f>
        <v>506.18249999999983</v>
      </c>
      <c r="E239" s="78">
        <f t="shared" si="33"/>
        <v>462.17320000000007</v>
      </c>
      <c r="F239" s="78">
        <f t="shared" si="33"/>
        <v>482.65730000000008</v>
      </c>
      <c r="G239" s="78">
        <f t="shared" si="33"/>
        <v>466.46619999999996</v>
      </c>
      <c r="H239" s="78">
        <f t="shared" si="33"/>
        <v>478.59879999999998</v>
      </c>
      <c r="I239" s="78">
        <f t="shared" si="33"/>
        <v>473.21359999999993</v>
      </c>
    </row>
    <row r="240" spans="1:15">
      <c r="B240" s="7" t="s">
        <v>197</v>
      </c>
      <c r="C240" s="78">
        <f>SUM(C182:C184)</f>
        <v>5.61</v>
      </c>
      <c r="D240" s="78">
        <f t="shared" ref="D240:I240" si="34">SUM(D182:D184)</f>
        <v>5.1479999999999997</v>
      </c>
      <c r="E240" s="78">
        <f t="shared" si="34"/>
        <v>5.7029999999999994</v>
      </c>
      <c r="F240" s="78">
        <f t="shared" si="34"/>
        <v>4.5780000000000003</v>
      </c>
      <c r="G240" s="78">
        <f t="shared" si="34"/>
        <v>4.5780000000000003</v>
      </c>
      <c r="H240" s="78">
        <f t="shared" si="34"/>
        <v>4.4180000000000001</v>
      </c>
      <c r="I240" s="78">
        <f t="shared" si="34"/>
        <v>4.4180000000000001</v>
      </c>
    </row>
    <row r="241" spans="2:9">
      <c r="B241" s="7" t="s">
        <v>198</v>
      </c>
      <c r="C241" s="78">
        <f>SUM(C196:C207)</f>
        <v>150.887</v>
      </c>
      <c r="D241" s="78">
        <f t="shared" ref="D241:I241" si="35">SUM(D196:D207)</f>
        <v>144.70100000000002</v>
      </c>
      <c r="E241" s="78">
        <f t="shared" si="35"/>
        <v>142.24700000000001</v>
      </c>
      <c r="F241" s="78">
        <f t="shared" si="35"/>
        <v>131.98000000000002</v>
      </c>
      <c r="G241" s="78">
        <f t="shared" si="35"/>
        <v>135.893</v>
      </c>
      <c r="H241" s="78">
        <f t="shared" si="35"/>
        <v>128.358</v>
      </c>
      <c r="I241" s="78">
        <f t="shared" si="35"/>
        <v>117.63200000000001</v>
      </c>
    </row>
    <row r="242" spans="2:9">
      <c r="B242" s="1" t="s">
        <v>247</v>
      </c>
      <c r="C242" s="79">
        <f t="shared" ref="C242:I242" si="36">SUM(C232:C241)</f>
        <v>1347.0206258432077</v>
      </c>
      <c r="D242" s="79">
        <f t="shared" si="36"/>
        <v>1459.1584952266633</v>
      </c>
      <c r="E242" s="79">
        <f t="shared" si="36"/>
        <v>1373.5474697495049</v>
      </c>
      <c r="F242" s="79">
        <f t="shared" si="36"/>
        <v>1395.2821946086494</v>
      </c>
      <c r="G242" s="79">
        <f t="shared" si="36"/>
        <v>1335.4670987030804</v>
      </c>
      <c r="H242" s="79">
        <f t="shared" si="36"/>
        <v>1339.3032352065063</v>
      </c>
      <c r="I242" s="79">
        <f t="shared" si="36"/>
        <v>1318.4342375343829</v>
      </c>
    </row>
    <row r="244" spans="2:9">
      <c r="B244" s="1" t="s">
        <v>248</v>
      </c>
      <c r="C244" s="1">
        <f>C231</f>
        <v>2015</v>
      </c>
      <c r="D244" s="1">
        <f t="shared" ref="D244:I244" si="37">D231</f>
        <v>2016</v>
      </c>
      <c r="E244" s="1">
        <f t="shared" si="37"/>
        <v>2017</v>
      </c>
      <c r="F244" s="1">
        <f t="shared" si="37"/>
        <v>2018</v>
      </c>
      <c r="G244" s="1">
        <f t="shared" si="37"/>
        <v>2019</v>
      </c>
      <c r="H244" s="1">
        <f t="shared" si="37"/>
        <v>2020</v>
      </c>
      <c r="I244" s="1">
        <f t="shared" si="37"/>
        <v>2021</v>
      </c>
    </row>
    <row r="245" spans="2:9">
      <c r="B245" s="7" t="s">
        <v>190</v>
      </c>
      <c r="C245" s="78">
        <v>0</v>
      </c>
      <c r="D245" s="78">
        <v>0</v>
      </c>
      <c r="E245" s="78">
        <v>0</v>
      </c>
      <c r="F245" s="78">
        <v>0</v>
      </c>
      <c r="G245" s="78">
        <v>0</v>
      </c>
      <c r="H245" s="78">
        <v>0</v>
      </c>
      <c r="I245" s="78">
        <v>0</v>
      </c>
    </row>
    <row r="246" spans="2:9">
      <c r="B246" s="7" t="s">
        <v>246</v>
      </c>
      <c r="C246" s="78">
        <f>SUM(C11:C12)</f>
        <v>0.22599999999999998</v>
      </c>
      <c r="D246" s="78">
        <f t="shared" ref="D246:I246" si="38">SUM(D11:D12)</f>
        <v>0.23199999999999998</v>
      </c>
      <c r="E246" s="78">
        <f t="shared" si="38"/>
        <v>0.24199999999999999</v>
      </c>
      <c r="F246" s="78">
        <f t="shared" si="38"/>
        <v>0.24199999999999999</v>
      </c>
      <c r="G246" s="78">
        <f t="shared" si="38"/>
        <v>0.24199999999999999</v>
      </c>
      <c r="H246" s="78">
        <f t="shared" si="38"/>
        <v>0.24199999999999999</v>
      </c>
      <c r="I246" s="78">
        <f t="shared" si="38"/>
        <v>0.24199999999999999</v>
      </c>
    </row>
    <row r="247" spans="2:9">
      <c r="B247" s="7" t="s">
        <v>192</v>
      </c>
      <c r="C247" s="78">
        <f>SUM(C20:C21)</f>
        <v>16.664999999999999</v>
      </c>
      <c r="D247" s="78">
        <f t="shared" ref="D247:I247" si="39">SUM(D20:D21)</f>
        <v>16.544</v>
      </c>
      <c r="E247" s="78">
        <f t="shared" si="39"/>
        <v>16.186</v>
      </c>
      <c r="F247" s="78">
        <f t="shared" si="39"/>
        <v>16.038</v>
      </c>
      <c r="G247" s="78">
        <f t="shared" si="39"/>
        <v>16.071999999999999</v>
      </c>
      <c r="H247" s="78">
        <f t="shared" si="39"/>
        <v>16.082000000000001</v>
      </c>
      <c r="I247" s="78">
        <f t="shared" si="39"/>
        <v>16.082000000000001</v>
      </c>
    </row>
    <row r="248" spans="2:9">
      <c r="B248" s="7" t="s">
        <v>193</v>
      </c>
      <c r="C248" s="78">
        <v>0</v>
      </c>
      <c r="D248" s="78">
        <v>0</v>
      </c>
      <c r="E248" s="78">
        <v>0</v>
      </c>
      <c r="F248" s="78">
        <v>0</v>
      </c>
      <c r="G248" s="78">
        <v>0</v>
      </c>
      <c r="H248" s="78">
        <v>0</v>
      </c>
      <c r="I248" s="78">
        <v>0</v>
      </c>
    </row>
    <row r="249" spans="2:9">
      <c r="B249" s="7" t="s">
        <v>194</v>
      </c>
      <c r="C249" s="78">
        <f>SUM(C33:C50)</f>
        <v>2943.7967290804686</v>
      </c>
      <c r="D249" s="78">
        <f t="shared" ref="D249:I249" si="40">SUM(D33:D50)</f>
        <v>2971.0031893965447</v>
      </c>
      <c r="E249" s="78">
        <f t="shared" si="40"/>
        <v>2962.8096835002139</v>
      </c>
      <c r="F249" s="78">
        <f t="shared" si="40"/>
        <v>2942.1485035002142</v>
      </c>
      <c r="G249" s="78">
        <f t="shared" si="40"/>
        <v>2949.5294835002137</v>
      </c>
      <c r="H249" s="78">
        <f t="shared" si="40"/>
        <v>2969.318263500214</v>
      </c>
      <c r="I249" s="78">
        <f t="shared" si="40"/>
        <v>2980.4356835002131</v>
      </c>
    </row>
    <row r="250" spans="2:9">
      <c r="B250" s="7" t="s">
        <v>84</v>
      </c>
      <c r="C250" s="78">
        <f>SUM(C67:C68)</f>
        <v>34.06</v>
      </c>
      <c r="D250" s="78">
        <f t="shared" ref="D250:I250" si="41">SUM(D67:D68)</f>
        <v>37.545000000000002</v>
      </c>
      <c r="E250" s="78">
        <f t="shared" si="41"/>
        <v>37.324000000000005</v>
      </c>
      <c r="F250" s="78">
        <f t="shared" si="41"/>
        <v>37.325000000000003</v>
      </c>
      <c r="G250" s="78">
        <f t="shared" si="41"/>
        <v>37.325000000000003</v>
      </c>
      <c r="H250" s="78">
        <f t="shared" si="41"/>
        <v>37.325000000000003</v>
      </c>
      <c r="I250" s="78">
        <f t="shared" si="41"/>
        <v>37.325000000000003</v>
      </c>
    </row>
    <row r="251" spans="2:9">
      <c r="B251" s="7" t="s">
        <v>195</v>
      </c>
      <c r="C251" s="78">
        <f>SUM(C75:C90)</f>
        <v>45.983000000000004</v>
      </c>
      <c r="D251" s="78">
        <f t="shared" ref="D251:I251" si="42">SUM(D75:D90)</f>
        <v>46.448000000000008</v>
      </c>
      <c r="E251" s="78">
        <f t="shared" si="42"/>
        <v>43.14200000000001</v>
      </c>
      <c r="F251" s="78">
        <f t="shared" si="42"/>
        <v>41.587000000000003</v>
      </c>
      <c r="G251" s="78">
        <f t="shared" si="42"/>
        <v>41.494999999999997</v>
      </c>
      <c r="H251" s="78">
        <f t="shared" si="42"/>
        <v>41.693999999999996</v>
      </c>
      <c r="I251" s="78">
        <f t="shared" si="42"/>
        <v>41.095000000000006</v>
      </c>
    </row>
    <row r="252" spans="2:9">
      <c r="B252" s="7" t="s">
        <v>196</v>
      </c>
      <c r="C252" s="78">
        <f>SUM(C108:C110,C113:C121,C152:C155,C167:C170,C177)</f>
        <v>405.42669999999998</v>
      </c>
      <c r="D252" s="78">
        <f t="shared" ref="D252:I252" si="43">SUM(D108:D110,D113:D121,D152:D155,D167:D170,D177)</f>
        <v>400.20030000000003</v>
      </c>
      <c r="E252" s="78">
        <f t="shared" si="43"/>
        <v>367.54859999999996</v>
      </c>
      <c r="F252" s="78">
        <f t="shared" si="43"/>
        <v>356.26899999999995</v>
      </c>
      <c r="G252" s="78">
        <f t="shared" si="43"/>
        <v>353.20349999999996</v>
      </c>
      <c r="H252" s="78">
        <f t="shared" si="43"/>
        <v>353.35124999999994</v>
      </c>
      <c r="I252" s="78">
        <f t="shared" si="43"/>
        <v>354.27124999999995</v>
      </c>
    </row>
    <row r="253" spans="2:9">
      <c r="B253" s="7" t="s">
        <v>197</v>
      </c>
      <c r="C253" s="78">
        <f>C181</f>
        <v>0</v>
      </c>
      <c r="D253" s="78">
        <f t="shared" ref="D253:I253" si="44">D181</f>
        <v>3.7749999999999999</v>
      </c>
      <c r="E253" s="78">
        <f t="shared" si="44"/>
        <v>3.7749999999999999</v>
      </c>
      <c r="F253" s="78">
        <f t="shared" si="44"/>
        <v>3.7749999999999999</v>
      </c>
      <c r="G253" s="78">
        <f t="shared" si="44"/>
        <v>3.7749999999999999</v>
      </c>
      <c r="H253" s="78">
        <f t="shared" si="44"/>
        <v>3.7749999999999999</v>
      </c>
      <c r="I253" s="78">
        <f t="shared" si="44"/>
        <v>3.7749999999999999</v>
      </c>
    </row>
    <row r="254" spans="2:9">
      <c r="B254" s="7" t="s">
        <v>198</v>
      </c>
      <c r="C254" s="78">
        <f>SUM(C188:C195)</f>
        <v>87.537999999999997</v>
      </c>
      <c r="D254" s="78">
        <f t="shared" ref="D254:I254" si="45">SUM(D188:D195)</f>
        <v>87.17</v>
      </c>
      <c r="E254" s="78">
        <f t="shared" si="45"/>
        <v>82.692000000000007</v>
      </c>
      <c r="F254" s="78">
        <f t="shared" si="45"/>
        <v>82.28</v>
      </c>
      <c r="G254" s="78">
        <f t="shared" si="45"/>
        <v>82.274000000000001</v>
      </c>
      <c r="H254" s="78">
        <f t="shared" si="45"/>
        <v>82.4</v>
      </c>
      <c r="I254" s="78">
        <f t="shared" si="45"/>
        <v>82.528999999999996</v>
      </c>
    </row>
    <row r="255" spans="2:9">
      <c r="B255" s="1" t="s">
        <v>249</v>
      </c>
      <c r="C255" s="79">
        <f t="shared" ref="C255:I255" si="46">SUM(C245:C254)</f>
        <v>3533.6954290804688</v>
      </c>
      <c r="D255" s="79">
        <f t="shared" si="46"/>
        <v>3562.9174893965446</v>
      </c>
      <c r="E255" s="79">
        <f t="shared" si="46"/>
        <v>3513.7192835002138</v>
      </c>
      <c r="F255" s="79">
        <f t="shared" si="46"/>
        <v>3479.6645035002143</v>
      </c>
      <c r="G255" s="79">
        <f t="shared" si="46"/>
        <v>3483.9159835002133</v>
      </c>
      <c r="H255" s="79">
        <f t="shared" si="46"/>
        <v>3504.1875135002138</v>
      </c>
      <c r="I255" s="79">
        <f t="shared" si="46"/>
        <v>3515.7549335002127</v>
      </c>
    </row>
    <row r="256" spans="2:9" s="140" customFormat="1"/>
    <row r="257" spans="2:9" s="140" customFormat="1">
      <c r="B257" s="1" t="s">
        <v>250</v>
      </c>
      <c r="C257" s="1">
        <f>C244</f>
        <v>2015</v>
      </c>
      <c r="D257" s="1">
        <f t="shared" ref="D257:I257" si="47">D244</f>
        <v>2016</v>
      </c>
      <c r="E257" s="1">
        <f t="shared" si="47"/>
        <v>2017</v>
      </c>
      <c r="F257" s="1">
        <f t="shared" si="47"/>
        <v>2018</v>
      </c>
      <c r="G257" s="1">
        <f t="shared" si="47"/>
        <v>2019</v>
      </c>
      <c r="H257" s="1">
        <f t="shared" si="47"/>
        <v>2020</v>
      </c>
      <c r="I257" s="1">
        <f t="shared" si="47"/>
        <v>2021</v>
      </c>
    </row>
    <row r="258" spans="2:9" s="140" customFormat="1">
      <c r="B258" s="4" t="s">
        <v>190</v>
      </c>
      <c r="C258" s="62">
        <f>SUM(C232,C245)</f>
        <v>0.58299999999999996</v>
      </c>
      <c r="D258" s="62">
        <f t="shared" ref="D258:I258" si="48">SUM(D232,D245)</f>
        <v>0.59399999999999997</v>
      </c>
      <c r="E258" s="62">
        <f t="shared" si="48"/>
        <v>0.59399999999999997</v>
      </c>
      <c r="F258" s="62">
        <f t="shared" si="48"/>
        <v>0.59399999999999997</v>
      </c>
      <c r="G258" s="62">
        <f t="shared" si="48"/>
        <v>0.59399999999999997</v>
      </c>
      <c r="H258" s="62">
        <f t="shared" si="48"/>
        <v>0.59399999999999997</v>
      </c>
      <c r="I258" s="62">
        <f t="shared" si="48"/>
        <v>0.59399999999999997</v>
      </c>
    </row>
    <row r="259" spans="2:9" s="140" customFormat="1">
      <c r="B259" s="4" t="s">
        <v>246</v>
      </c>
      <c r="C259" s="62">
        <f t="shared" ref="C259:I259" si="49">SUM(C233,C246)</f>
        <v>34.914000000000001</v>
      </c>
      <c r="D259" s="62">
        <f t="shared" si="49"/>
        <v>39.9</v>
      </c>
      <c r="E259" s="62">
        <f t="shared" si="49"/>
        <v>37.466000000000001</v>
      </c>
      <c r="F259" s="62">
        <f t="shared" si="49"/>
        <v>37.756999999999998</v>
      </c>
      <c r="G259" s="62">
        <f t="shared" si="49"/>
        <v>37.841999999999992</v>
      </c>
      <c r="H259" s="62">
        <f t="shared" si="49"/>
        <v>37.841999999999992</v>
      </c>
      <c r="I259" s="62">
        <f t="shared" si="49"/>
        <v>37.841999999999992</v>
      </c>
    </row>
    <row r="260" spans="2:9" s="140" customFormat="1">
      <c r="B260" s="4" t="s">
        <v>192</v>
      </c>
      <c r="C260" s="62">
        <f t="shared" ref="C260:I260" si="50">SUM(C234,C247)</f>
        <v>22.096</v>
      </c>
      <c r="D260" s="62">
        <f t="shared" si="50"/>
        <v>21.521000000000001</v>
      </c>
      <c r="E260" s="62">
        <f t="shared" si="50"/>
        <v>21.111000000000001</v>
      </c>
      <c r="F260" s="62">
        <f t="shared" si="50"/>
        <v>20.972000000000001</v>
      </c>
      <c r="G260" s="62">
        <f t="shared" si="50"/>
        <v>21.006999999999998</v>
      </c>
      <c r="H260" s="62">
        <f t="shared" si="50"/>
        <v>21.017000000000003</v>
      </c>
      <c r="I260" s="62">
        <f t="shared" si="50"/>
        <v>21.02</v>
      </c>
    </row>
    <row r="261" spans="2:9" s="140" customFormat="1">
      <c r="B261" s="4" t="s">
        <v>193</v>
      </c>
      <c r="C261" s="62">
        <f t="shared" ref="C261:I261" si="51">SUM(C235,C248)</f>
        <v>12.233000000000001</v>
      </c>
      <c r="D261" s="62">
        <f t="shared" si="51"/>
        <v>12.789</v>
      </c>
      <c r="E261" s="62">
        <f t="shared" si="51"/>
        <v>10.373999999999999</v>
      </c>
      <c r="F261" s="62">
        <f t="shared" si="51"/>
        <v>8.91</v>
      </c>
      <c r="G261" s="62">
        <f t="shared" si="51"/>
        <v>8.9459999999999997</v>
      </c>
      <c r="H261" s="62">
        <f t="shared" si="51"/>
        <v>9.26</v>
      </c>
      <c r="I261" s="62">
        <f t="shared" si="51"/>
        <v>10.66</v>
      </c>
    </row>
    <row r="262" spans="2:9">
      <c r="B262" s="4" t="s">
        <v>194</v>
      </c>
      <c r="C262" s="62">
        <f t="shared" ref="C262:I262" si="52">SUM(C236,C249)</f>
        <v>3599.0105549236764</v>
      </c>
      <c r="D262" s="62">
        <f t="shared" si="52"/>
        <v>3668.4681846232083</v>
      </c>
      <c r="E262" s="62">
        <f t="shared" si="52"/>
        <v>3623.9829532497188</v>
      </c>
      <c r="F262" s="62">
        <f t="shared" si="52"/>
        <v>3628.3473981088637</v>
      </c>
      <c r="G262" s="62">
        <f t="shared" si="52"/>
        <v>3588.129382203294</v>
      </c>
      <c r="H262" s="62">
        <f t="shared" si="52"/>
        <v>3606.3926987067207</v>
      </c>
      <c r="I262" s="62">
        <f t="shared" si="52"/>
        <v>3615.9093210345959</v>
      </c>
    </row>
    <row r="263" spans="2:9" s="140" customFormat="1">
      <c r="B263" s="4" t="s">
        <v>84</v>
      </c>
      <c r="C263" s="62">
        <f t="shared" ref="C263:I263" si="53">SUM(C237,C250)</f>
        <v>61.612000000000002</v>
      </c>
      <c r="D263" s="62">
        <f t="shared" si="53"/>
        <v>60.69</v>
      </c>
      <c r="E263" s="62">
        <f t="shared" si="53"/>
        <v>60.469000000000008</v>
      </c>
      <c r="F263" s="62">
        <f t="shared" si="53"/>
        <v>60.472000000000001</v>
      </c>
      <c r="G263" s="62">
        <f t="shared" si="53"/>
        <v>60.472000000000001</v>
      </c>
      <c r="H263" s="62">
        <f t="shared" si="53"/>
        <v>60.472000000000001</v>
      </c>
      <c r="I263" s="62">
        <f t="shared" si="53"/>
        <v>60.472000000000001</v>
      </c>
    </row>
    <row r="264" spans="2:9" s="140" customFormat="1">
      <c r="B264" s="4" t="s">
        <v>195</v>
      </c>
      <c r="C264" s="62">
        <f t="shared" ref="C264:I264" si="54">SUM(C238,C251)</f>
        <v>70.567000000000007</v>
      </c>
      <c r="D264" s="62">
        <f t="shared" si="54"/>
        <v>70.937000000000012</v>
      </c>
      <c r="E264" s="62">
        <f t="shared" si="54"/>
        <v>69.131000000000014</v>
      </c>
      <c r="F264" s="62">
        <f t="shared" si="54"/>
        <v>56.355000000000004</v>
      </c>
      <c r="G264" s="62">
        <f t="shared" si="54"/>
        <v>56.202999999999996</v>
      </c>
      <c r="H264" s="62">
        <f t="shared" si="54"/>
        <v>57.012</v>
      </c>
      <c r="I264" s="62">
        <f t="shared" si="54"/>
        <v>51.853000000000009</v>
      </c>
    </row>
    <row r="265" spans="2:9" s="140" customFormat="1">
      <c r="B265" s="4" t="s">
        <v>196</v>
      </c>
      <c r="C265" s="62">
        <f t="shared" ref="C265:I265" si="55">SUM(C239,C252)</f>
        <v>835.66550000000007</v>
      </c>
      <c r="D265" s="62">
        <f t="shared" si="55"/>
        <v>906.38279999999986</v>
      </c>
      <c r="E265" s="62">
        <f t="shared" si="55"/>
        <v>829.72180000000003</v>
      </c>
      <c r="F265" s="62">
        <f t="shared" si="55"/>
        <v>838.92630000000008</v>
      </c>
      <c r="G265" s="62">
        <f t="shared" si="55"/>
        <v>819.66969999999992</v>
      </c>
      <c r="H265" s="62">
        <f t="shared" si="55"/>
        <v>831.95004999999992</v>
      </c>
      <c r="I265" s="62">
        <f t="shared" si="55"/>
        <v>827.48484999999982</v>
      </c>
    </row>
    <row r="266" spans="2:9" s="140" customFormat="1">
      <c r="B266" s="4" t="s">
        <v>197</v>
      </c>
      <c r="C266" s="62">
        <f t="shared" ref="C266:I266" si="56">SUM(C240,C253)</f>
        <v>5.61</v>
      </c>
      <c r="D266" s="62">
        <f t="shared" si="56"/>
        <v>8.923</v>
      </c>
      <c r="E266" s="62">
        <f t="shared" si="56"/>
        <v>9.4779999999999998</v>
      </c>
      <c r="F266" s="62">
        <f t="shared" si="56"/>
        <v>8.3529999999999998</v>
      </c>
      <c r="G266" s="62">
        <f t="shared" si="56"/>
        <v>8.3529999999999998</v>
      </c>
      <c r="H266" s="62">
        <f t="shared" si="56"/>
        <v>8.1929999999999996</v>
      </c>
      <c r="I266" s="62">
        <f t="shared" si="56"/>
        <v>8.1929999999999996</v>
      </c>
    </row>
    <row r="267" spans="2:9" s="140" customFormat="1">
      <c r="B267" s="4" t="s">
        <v>198</v>
      </c>
      <c r="C267" s="62">
        <f t="shared" ref="C267:I267" si="57">SUM(C241,C254)</f>
        <v>238.42500000000001</v>
      </c>
      <c r="D267" s="62">
        <f t="shared" si="57"/>
        <v>231.87100000000004</v>
      </c>
      <c r="E267" s="62">
        <f t="shared" si="57"/>
        <v>224.93900000000002</v>
      </c>
      <c r="F267" s="62">
        <f t="shared" si="57"/>
        <v>214.26000000000002</v>
      </c>
      <c r="G267" s="62">
        <f t="shared" si="57"/>
        <v>218.167</v>
      </c>
      <c r="H267" s="62">
        <f t="shared" si="57"/>
        <v>210.75800000000001</v>
      </c>
      <c r="I267" s="62">
        <f t="shared" si="57"/>
        <v>200.161</v>
      </c>
    </row>
    <row r="268" spans="2:9" s="140" customFormat="1">
      <c r="B268" s="1" t="s">
        <v>81</v>
      </c>
      <c r="C268" s="59">
        <f t="shared" ref="C268:I268" si="58">SUM(C258:C267)</f>
        <v>4880.716054923676</v>
      </c>
      <c r="D268" s="59">
        <f t="shared" si="58"/>
        <v>5022.0759846232086</v>
      </c>
      <c r="E268" s="59">
        <f t="shared" si="58"/>
        <v>4887.2667532497189</v>
      </c>
      <c r="F268" s="59">
        <f t="shared" si="58"/>
        <v>4874.9466981088644</v>
      </c>
      <c r="G268" s="59">
        <f t="shared" si="58"/>
        <v>4819.3830822032942</v>
      </c>
      <c r="H268" s="59">
        <f t="shared" si="58"/>
        <v>4843.4907487067212</v>
      </c>
      <c r="I268" s="59">
        <f t="shared" si="58"/>
        <v>4834.1891710345963</v>
      </c>
    </row>
    <row r="269" spans="2:9" s="140" customFormat="1"/>
    <row r="270" spans="2:9">
      <c r="B270" s="1" t="s">
        <v>251</v>
      </c>
      <c r="C270" s="1">
        <f>C257</f>
        <v>2015</v>
      </c>
      <c r="D270" s="1">
        <f t="shared" ref="D270:I270" si="59">D257</f>
        <v>2016</v>
      </c>
      <c r="E270" s="1">
        <f t="shared" si="59"/>
        <v>2017</v>
      </c>
      <c r="F270" s="1">
        <f t="shared" si="59"/>
        <v>2018</v>
      </c>
      <c r="G270" s="1">
        <f t="shared" si="59"/>
        <v>2019</v>
      </c>
      <c r="H270" s="1">
        <f t="shared" si="59"/>
        <v>2020</v>
      </c>
      <c r="I270" s="1">
        <f t="shared" si="59"/>
        <v>2021</v>
      </c>
    </row>
    <row r="271" spans="2:9">
      <c r="B271" s="4" t="s">
        <v>190</v>
      </c>
      <c r="C271" s="78">
        <f t="shared" ref="C271:I281" si="60">+C232/C258*100</f>
        <v>100</v>
      </c>
      <c r="D271" s="78">
        <f t="shared" si="60"/>
        <v>100</v>
      </c>
      <c r="E271" s="78">
        <f t="shared" si="60"/>
        <v>100</v>
      </c>
      <c r="F271" s="78">
        <f t="shared" si="60"/>
        <v>100</v>
      </c>
      <c r="G271" s="78">
        <f t="shared" si="60"/>
        <v>100</v>
      </c>
      <c r="H271" s="78">
        <f t="shared" si="60"/>
        <v>100</v>
      </c>
      <c r="I271" s="78">
        <f t="shared" si="60"/>
        <v>100</v>
      </c>
    </row>
    <row r="272" spans="2:9">
      <c r="B272" s="4" t="s">
        <v>246</v>
      </c>
      <c r="C272" s="78">
        <f t="shared" si="60"/>
        <v>99.352695193905021</v>
      </c>
      <c r="D272" s="78">
        <f t="shared" si="60"/>
        <v>99.418546365914779</v>
      </c>
      <c r="E272" s="78">
        <f t="shared" si="60"/>
        <v>99.354081033470351</v>
      </c>
      <c r="F272" s="78">
        <f t="shared" si="60"/>
        <v>99.35905924729191</v>
      </c>
      <c r="G272" s="78">
        <f t="shared" si="60"/>
        <v>99.360498916547755</v>
      </c>
      <c r="H272" s="78">
        <f t="shared" si="60"/>
        <v>99.360498916547755</v>
      </c>
      <c r="I272" s="78">
        <f t="shared" si="60"/>
        <v>99.360498916547755</v>
      </c>
    </row>
    <row r="273" spans="2:9">
      <c r="B273" s="4" t="s">
        <v>192</v>
      </c>
      <c r="C273" s="78">
        <f t="shared" si="60"/>
        <v>24.579109341057205</v>
      </c>
      <c r="D273" s="78">
        <f t="shared" si="60"/>
        <v>23.12624878026114</v>
      </c>
      <c r="E273" s="78">
        <f t="shared" si="60"/>
        <v>23.329070153000806</v>
      </c>
      <c r="F273" s="78">
        <f t="shared" si="60"/>
        <v>23.526606904444019</v>
      </c>
      <c r="G273" s="78">
        <f t="shared" si="60"/>
        <v>23.492169276907703</v>
      </c>
      <c r="H273" s="78">
        <f t="shared" si="60"/>
        <v>23.480991578246179</v>
      </c>
      <c r="I273" s="78">
        <f t="shared" si="60"/>
        <v>23.491912464319693</v>
      </c>
    </row>
    <row r="274" spans="2:9">
      <c r="B274" s="4" t="s">
        <v>193</v>
      </c>
      <c r="C274" s="78">
        <f t="shared" si="60"/>
        <v>100</v>
      </c>
      <c r="D274" s="78">
        <f t="shared" si="60"/>
        <v>100</v>
      </c>
      <c r="E274" s="78">
        <f t="shared" si="60"/>
        <v>100</v>
      </c>
      <c r="F274" s="78">
        <f t="shared" si="60"/>
        <v>100</v>
      </c>
      <c r="G274" s="78">
        <f t="shared" si="60"/>
        <v>100</v>
      </c>
      <c r="H274" s="78">
        <f t="shared" si="60"/>
        <v>100</v>
      </c>
      <c r="I274" s="78">
        <f t="shared" si="60"/>
        <v>100</v>
      </c>
    </row>
    <row r="275" spans="2:9">
      <c r="B275" s="4" t="s">
        <v>194</v>
      </c>
      <c r="C275" s="78">
        <f t="shared" si="60"/>
        <v>18.205387726547048</v>
      </c>
      <c r="D275" s="78">
        <f t="shared" si="60"/>
        <v>19.012431350779202</v>
      </c>
      <c r="E275" s="78">
        <f t="shared" si="60"/>
        <v>18.244381341711716</v>
      </c>
      <c r="F275" s="78">
        <f t="shared" si="60"/>
        <v>18.912160808149299</v>
      </c>
      <c r="G275" s="78">
        <f t="shared" si="60"/>
        <v>17.797571678169188</v>
      </c>
      <c r="H275" s="78">
        <f t="shared" si="60"/>
        <v>17.66514321734752</v>
      </c>
      <c r="I275" s="78">
        <f t="shared" si="60"/>
        <v>17.574379806420559</v>
      </c>
    </row>
    <row r="276" spans="2:9">
      <c r="B276" s="4" t="s">
        <v>84</v>
      </c>
      <c r="C276" s="78">
        <f t="shared" si="60"/>
        <v>44.718561319223525</v>
      </c>
      <c r="D276" s="78">
        <f t="shared" si="60"/>
        <v>38.136431043005437</v>
      </c>
      <c r="E276" s="78">
        <f t="shared" si="60"/>
        <v>38.275810746002072</v>
      </c>
      <c r="F276" s="78">
        <f t="shared" si="60"/>
        <v>38.27721920889006</v>
      </c>
      <c r="G276" s="78">
        <f t="shared" si="60"/>
        <v>38.27721920889006</v>
      </c>
      <c r="H276" s="78">
        <f t="shared" si="60"/>
        <v>38.27721920889006</v>
      </c>
      <c r="I276" s="78">
        <f t="shared" si="60"/>
        <v>38.27721920889006</v>
      </c>
    </row>
    <row r="277" spans="2:9">
      <c r="B277" s="4" t="s">
        <v>195</v>
      </c>
      <c r="C277" s="78">
        <f t="shared" si="60"/>
        <v>34.837813708957441</v>
      </c>
      <c r="D277" s="78">
        <f t="shared" si="60"/>
        <v>34.522181654143814</v>
      </c>
      <c r="E277" s="78">
        <f t="shared" si="60"/>
        <v>37.593843572348149</v>
      </c>
      <c r="F277" s="78">
        <f t="shared" si="60"/>
        <v>26.205305651672433</v>
      </c>
      <c r="G277" s="78">
        <f t="shared" si="60"/>
        <v>26.169421561126633</v>
      </c>
      <c r="H277" s="78">
        <f t="shared" si="60"/>
        <v>26.868027783624505</v>
      </c>
      <c r="I277" s="78">
        <f t="shared" si="60"/>
        <v>20.747112028233659</v>
      </c>
    </row>
    <row r="278" spans="2:9">
      <c r="B278" s="4" t="s">
        <v>196</v>
      </c>
      <c r="C278" s="78">
        <f t="shared" si="60"/>
        <v>51.484571278819089</v>
      </c>
      <c r="D278" s="78">
        <f t="shared" si="60"/>
        <v>55.846437068311531</v>
      </c>
      <c r="E278" s="78">
        <f t="shared" si="60"/>
        <v>55.702188372054351</v>
      </c>
      <c r="F278" s="78">
        <f t="shared" si="60"/>
        <v>57.532741553101864</v>
      </c>
      <c r="G278" s="78">
        <f t="shared" si="60"/>
        <v>56.909045192228035</v>
      </c>
      <c r="H278" s="78">
        <f t="shared" si="60"/>
        <v>57.527347945949401</v>
      </c>
      <c r="I278" s="78">
        <f t="shared" si="60"/>
        <v>57.186980522966678</v>
      </c>
    </row>
    <row r="279" spans="2:9">
      <c r="B279" s="4" t="s">
        <v>197</v>
      </c>
      <c r="C279" s="78">
        <f t="shared" si="60"/>
        <v>100</v>
      </c>
      <c r="D279" s="78">
        <f t="shared" si="60"/>
        <v>57.693600806903497</v>
      </c>
      <c r="E279" s="78">
        <f t="shared" si="60"/>
        <v>60.170922135471614</v>
      </c>
      <c r="F279" s="78">
        <f t="shared" si="60"/>
        <v>54.806656291152891</v>
      </c>
      <c r="G279" s="78">
        <f t="shared" si="60"/>
        <v>54.806656291152891</v>
      </c>
      <c r="H279" s="78">
        <f t="shared" si="60"/>
        <v>53.924081533015986</v>
      </c>
      <c r="I279" s="78">
        <f t="shared" si="60"/>
        <v>53.924081533015986</v>
      </c>
    </row>
    <row r="280" spans="2:9">
      <c r="B280" s="4" t="s">
        <v>198</v>
      </c>
      <c r="C280" s="78">
        <f t="shared" si="60"/>
        <v>63.284890426758935</v>
      </c>
      <c r="D280" s="78">
        <f t="shared" si="60"/>
        <v>62.405820477765651</v>
      </c>
      <c r="E280" s="78">
        <f t="shared" si="60"/>
        <v>63.238033422394516</v>
      </c>
      <c r="F280" s="78">
        <f t="shared" si="60"/>
        <v>61.598058433678716</v>
      </c>
      <c r="G280" s="78">
        <f t="shared" si="60"/>
        <v>62.288522095458987</v>
      </c>
      <c r="H280" s="78">
        <f t="shared" si="60"/>
        <v>60.903026219645284</v>
      </c>
      <c r="I280" s="78">
        <f t="shared" si="60"/>
        <v>58.768691203581113</v>
      </c>
    </row>
    <row r="281" spans="2:9">
      <c r="B281" s="1" t="s">
        <v>81</v>
      </c>
      <c r="C281" s="161">
        <f t="shared" si="60"/>
        <v>27.598832029663566</v>
      </c>
      <c r="D281" s="161">
        <f t="shared" si="60"/>
        <v>29.054886857434507</v>
      </c>
      <c r="E281" s="161">
        <f t="shared" si="60"/>
        <v>28.104614278240163</v>
      </c>
      <c r="F281" s="161">
        <f t="shared" si="60"/>
        <v>28.62148616209323</v>
      </c>
      <c r="G281" s="161">
        <f t="shared" si="60"/>
        <v>27.71033296013772</v>
      </c>
      <c r="H281" s="161">
        <f t="shared" si="60"/>
        <v>27.651611300467927</v>
      </c>
      <c r="I281" s="161">
        <f t="shared" si="60"/>
        <v>27.273120494211362</v>
      </c>
    </row>
    <row r="282" spans="2:9" s="140" customFormat="1"/>
    <row r="283" spans="2:9">
      <c r="C283" s="4" t="s">
        <v>209</v>
      </c>
    </row>
  </sheetData>
  <sortState ref="P41:AD73">
    <sortCondition ref="AC41:AC73"/>
  </sortState>
  <pageMargins left="0.70866141732283472" right="0.70866141732283472" top="0.74803149606299213" bottom="0.74803149606299213" header="0.31496062992125984" footer="0.31496062992125984"/>
  <pageSetup paperSize="9" scale="19" orientation="portrait" r:id="rId1"/>
  <headerFooter>
    <oddFooter>&amp;L&amp;Z&amp;F</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7"/>
  <sheetViews>
    <sheetView workbookViewId="0"/>
  </sheetViews>
  <sheetFormatPr defaultRowHeight="15" customHeight="1"/>
  <cols>
    <col min="1" max="1" width="9.140625" style="159"/>
    <col min="2" max="2" width="103.140625" style="159" customWidth="1"/>
    <col min="3" max="9" width="10" style="159" bestFit="1" customWidth="1"/>
    <col min="10" max="16384" width="9.140625" style="159"/>
  </cols>
  <sheetData>
    <row r="1" spans="1:17" ht="15" customHeight="1">
      <c r="A1" s="260" t="s">
        <v>367</v>
      </c>
      <c r="B1" s="253"/>
      <c r="C1" s="123"/>
      <c r="D1" s="123"/>
      <c r="E1" s="123"/>
      <c r="F1" s="123"/>
      <c r="G1" s="123"/>
      <c r="H1" s="123"/>
      <c r="I1" s="123"/>
    </row>
    <row r="2" spans="1:17" ht="15" customHeight="1">
      <c r="A2" s="260"/>
      <c r="B2" s="253"/>
      <c r="C2" s="123"/>
      <c r="D2" s="123"/>
      <c r="E2" s="123"/>
      <c r="F2" s="123"/>
      <c r="G2" s="123"/>
      <c r="H2" s="123"/>
      <c r="I2" s="123"/>
    </row>
    <row r="3" spans="1:17" ht="15" customHeight="1">
      <c r="A3" s="262"/>
      <c r="B3" s="262"/>
      <c r="C3" s="39">
        <f>Type!C4</f>
        <v>2015</v>
      </c>
      <c r="D3" s="39">
        <f>Type!D4</f>
        <v>2016</v>
      </c>
      <c r="E3" s="39">
        <f>Type!E4</f>
        <v>2017</v>
      </c>
      <c r="F3" s="39">
        <f>Type!F4</f>
        <v>2018</v>
      </c>
      <c r="G3" s="39">
        <f>Type!G4</f>
        <v>2019</v>
      </c>
      <c r="H3" s="39">
        <f>Type!H4</f>
        <v>2020</v>
      </c>
      <c r="I3" s="39">
        <f>Type!I4</f>
        <v>2021</v>
      </c>
    </row>
    <row r="4" spans="1:17" ht="15" customHeight="1">
      <c r="A4" s="123">
        <v>1</v>
      </c>
      <c r="B4" s="123" t="s">
        <v>146</v>
      </c>
      <c r="C4" s="269">
        <v>21.023999999999997</v>
      </c>
      <c r="D4" s="269">
        <v>23.081</v>
      </c>
      <c r="E4" s="269">
        <v>21.854999999999997</v>
      </c>
      <c r="F4" s="269">
        <v>21.080000000000002</v>
      </c>
      <c r="G4" s="269">
        <v>21.081</v>
      </c>
      <c r="H4" s="269">
        <v>21.081</v>
      </c>
      <c r="I4" s="269">
        <v>21.084</v>
      </c>
      <c r="K4" s="261"/>
      <c r="L4" s="261"/>
      <c r="M4" s="261"/>
      <c r="N4" s="261"/>
      <c r="O4" s="261"/>
      <c r="P4" s="261"/>
      <c r="Q4" s="261"/>
    </row>
    <row r="5" spans="1:17" ht="15" customHeight="1">
      <c r="A5" s="123">
        <v>2</v>
      </c>
      <c r="B5" s="123" t="s">
        <v>160</v>
      </c>
      <c r="C5" s="269">
        <v>31.404</v>
      </c>
      <c r="D5" s="269">
        <v>27.702000000000002</v>
      </c>
      <c r="E5" s="269">
        <v>24.747</v>
      </c>
      <c r="F5" s="269">
        <v>23.439</v>
      </c>
      <c r="G5" s="269">
        <v>23.832000000000001</v>
      </c>
      <c r="H5" s="269">
        <v>23.952000000000002</v>
      </c>
      <c r="I5" s="269">
        <v>23.952000000000002</v>
      </c>
      <c r="K5" s="261"/>
      <c r="L5" s="261"/>
      <c r="M5" s="261"/>
      <c r="N5" s="261"/>
      <c r="O5" s="261"/>
      <c r="P5" s="261"/>
      <c r="Q5" s="261"/>
    </row>
    <row r="6" spans="1:17" ht="15" customHeight="1">
      <c r="A6" s="123">
        <v>3</v>
      </c>
      <c r="B6" s="123" t="s">
        <v>132</v>
      </c>
      <c r="C6" s="269">
        <v>128.67599999999999</v>
      </c>
      <c r="D6" s="269">
        <v>133.13999999999999</v>
      </c>
      <c r="E6" s="269">
        <v>118.50700000000001</v>
      </c>
      <c r="F6" s="269">
        <v>119.45100000000001</v>
      </c>
      <c r="G6" s="269">
        <v>119.45100000000001</v>
      </c>
      <c r="H6" s="269">
        <v>119.59699999999999</v>
      </c>
      <c r="I6" s="269">
        <v>119.26400000000001</v>
      </c>
      <c r="K6" s="261"/>
      <c r="L6" s="261"/>
      <c r="M6" s="261"/>
      <c r="N6" s="261"/>
      <c r="O6" s="261"/>
      <c r="P6" s="261"/>
      <c r="Q6" s="261"/>
    </row>
    <row r="7" spans="1:17" ht="15" customHeight="1">
      <c r="A7" s="123">
        <v>4</v>
      </c>
      <c r="B7" s="123" t="s">
        <v>439</v>
      </c>
      <c r="C7" s="269">
        <v>88.530999999999992</v>
      </c>
      <c r="D7" s="269">
        <v>86.361999999999995</v>
      </c>
      <c r="E7" s="269">
        <v>85.64500000000001</v>
      </c>
      <c r="F7" s="269">
        <v>69.721000000000004</v>
      </c>
      <c r="G7" s="269">
        <v>70.028999999999996</v>
      </c>
      <c r="H7" s="269">
        <v>71.008999999999986</v>
      </c>
      <c r="I7" s="269">
        <v>67.464999999999989</v>
      </c>
      <c r="K7" s="261"/>
      <c r="L7" s="261"/>
      <c r="M7" s="261"/>
      <c r="N7" s="261"/>
      <c r="O7" s="261"/>
      <c r="P7" s="261"/>
      <c r="Q7" s="261"/>
    </row>
    <row r="8" spans="1:17" ht="15" customHeight="1">
      <c r="A8" s="123">
        <v>5</v>
      </c>
      <c r="B8" s="123" t="s">
        <v>223</v>
      </c>
      <c r="C8" s="269">
        <v>116.08900000000001</v>
      </c>
      <c r="D8" s="269">
        <v>112.44999999999999</v>
      </c>
      <c r="E8" s="269">
        <v>122.72600000000001</v>
      </c>
      <c r="F8" s="269">
        <v>120.697</v>
      </c>
      <c r="G8" s="269">
        <v>117.358</v>
      </c>
      <c r="H8" s="269">
        <v>122.386</v>
      </c>
      <c r="I8" s="269">
        <v>113.72300000000001</v>
      </c>
      <c r="K8" s="261"/>
      <c r="L8" s="261"/>
      <c r="M8" s="261"/>
      <c r="N8" s="261"/>
      <c r="O8" s="261"/>
      <c r="P8" s="261"/>
      <c r="Q8" s="261"/>
    </row>
    <row r="9" spans="1:17" ht="15" customHeight="1">
      <c r="A9" s="123">
        <v>6</v>
      </c>
      <c r="B9" s="123" t="s">
        <v>224</v>
      </c>
      <c r="C9" s="269">
        <v>356.17599999999999</v>
      </c>
      <c r="D9" s="269">
        <v>383.89600000000002</v>
      </c>
      <c r="E9" s="269">
        <v>386.82200000000006</v>
      </c>
      <c r="F9" s="269">
        <v>382.38100000000009</v>
      </c>
      <c r="G9" s="269">
        <v>373.73700000000002</v>
      </c>
      <c r="H9" s="269">
        <v>394.43200000000007</v>
      </c>
      <c r="I9" s="269">
        <v>399.11600000000004</v>
      </c>
      <c r="K9" s="261"/>
      <c r="L9" s="261"/>
      <c r="M9" s="261"/>
      <c r="N9" s="261"/>
      <c r="O9" s="261"/>
      <c r="P9" s="261"/>
      <c r="Q9" s="261"/>
    </row>
    <row r="10" spans="1:17" ht="15" customHeight="1">
      <c r="A10" s="123">
        <v>7</v>
      </c>
      <c r="B10" s="123" t="s">
        <v>136</v>
      </c>
      <c r="C10" s="269">
        <v>209.434</v>
      </c>
      <c r="D10" s="269">
        <v>210.98200000000003</v>
      </c>
      <c r="E10" s="269">
        <v>204.73800000000003</v>
      </c>
      <c r="F10" s="269">
        <v>194.74800000000002</v>
      </c>
      <c r="G10" s="269">
        <v>198.53100000000003</v>
      </c>
      <c r="H10" s="269">
        <v>190.99600000000001</v>
      </c>
      <c r="I10" s="269">
        <v>180.27100000000004</v>
      </c>
      <c r="K10" s="261"/>
      <c r="L10" s="261"/>
      <c r="M10" s="261"/>
      <c r="N10" s="261"/>
      <c r="O10" s="261"/>
      <c r="P10" s="261"/>
      <c r="Q10" s="261"/>
    </row>
    <row r="11" spans="1:17" ht="15" customHeight="1">
      <c r="A11" s="123">
        <v>8</v>
      </c>
      <c r="B11" s="123" t="s">
        <v>280</v>
      </c>
      <c r="C11" s="269">
        <v>99.883999999999986</v>
      </c>
      <c r="D11" s="269">
        <v>88.12</v>
      </c>
      <c r="E11" s="269">
        <v>70.855999999999995</v>
      </c>
      <c r="F11" s="269">
        <v>66.266000000000005</v>
      </c>
      <c r="G11" s="269">
        <v>62.2</v>
      </c>
      <c r="H11" s="269">
        <v>61.634</v>
      </c>
      <c r="I11" s="269">
        <v>62.262</v>
      </c>
      <c r="K11" s="261"/>
      <c r="L11" s="261"/>
      <c r="M11" s="261"/>
      <c r="N11" s="261"/>
      <c r="O11" s="261"/>
      <c r="P11" s="261"/>
      <c r="Q11" s="261"/>
    </row>
    <row r="12" spans="1:17" ht="15" customHeight="1">
      <c r="A12" s="123">
        <v>9</v>
      </c>
      <c r="B12" s="123" t="s">
        <v>143</v>
      </c>
      <c r="C12" s="269">
        <v>33.503</v>
      </c>
      <c r="D12" s="269">
        <v>33.625</v>
      </c>
      <c r="E12" s="269">
        <v>30.668999999999997</v>
      </c>
      <c r="F12" s="269">
        <v>29.094000000000001</v>
      </c>
      <c r="G12" s="269">
        <v>28.244</v>
      </c>
      <c r="H12" s="269">
        <v>27.812000000000001</v>
      </c>
      <c r="I12" s="269">
        <v>27.812000000000001</v>
      </c>
      <c r="K12" s="261"/>
      <c r="L12" s="261"/>
      <c r="M12" s="261"/>
      <c r="N12" s="261"/>
      <c r="O12" s="261"/>
      <c r="P12" s="261"/>
      <c r="Q12" s="261"/>
    </row>
    <row r="13" spans="1:17" ht="15" customHeight="1">
      <c r="A13" s="123">
        <v>10</v>
      </c>
      <c r="B13" s="123" t="s">
        <v>98</v>
      </c>
      <c r="C13" s="269">
        <v>22.457000000000001</v>
      </c>
      <c r="D13" s="269">
        <v>22.067999999999998</v>
      </c>
      <c r="E13" s="269">
        <v>16.837999999999997</v>
      </c>
      <c r="F13" s="269">
        <v>16.45</v>
      </c>
      <c r="G13" s="269">
        <v>16.504000000000001</v>
      </c>
      <c r="H13" s="269">
        <v>16.504000000000001</v>
      </c>
      <c r="I13" s="269">
        <v>6.641</v>
      </c>
      <c r="K13" s="261"/>
      <c r="L13" s="261"/>
      <c r="M13" s="261"/>
      <c r="N13" s="261"/>
      <c r="O13" s="261"/>
      <c r="P13" s="261"/>
      <c r="Q13" s="261"/>
    </row>
    <row r="14" spans="1:17" ht="15" customHeight="1">
      <c r="A14" s="123">
        <v>11</v>
      </c>
      <c r="B14" s="123" t="s">
        <v>281</v>
      </c>
      <c r="C14" s="269">
        <v>86.333999999999989</v>
      </c>
      <c r="D14" s="269">
        <v>91.156999999999982</v>
      </c>
      <c r="E14" s="269">
        <v>87.073000000000022</v>
      </c>
      <c r="F14" s="269">
        <v>83.450999999999993</v>
      </c>
      <c r="G14" s="269">
        <v>83.670999999999992</v>
      </c>
      <c r="H14" s="269">
        <v>83.64700000000002</v>
      </c>
      <c r="I14" s="269">
        <v>83.779000000000025</v>
      </c>
      <c r="K14" s="261"/>
      <c r="L14" s="261"/>
      <c r="M14" s="261"/>
      <c r="N14" s="261"/>
      <c r="O14" s="261"/>
      <c r="P14" s="261"/>
      <c r="Q14" s="261"/>
    </row>
    <row r="15" spans="1:17" ht="15" customHeight="1">
      <c r="A15" s="123">
        <v>12</v>
      </c>
      <c r="B15" s="264" t="s">
        <v>282</v>
      </c>
      <c r="C15" s="269">
        <v>2708.2</v>
      </c>
      <c r="D15" s="269">
        <v>2785.9810000000002</v>
      </c>
      <c r="E15" s="269">
        <v>2774.9119999999998</v>
      </c>
      <c r="F15" s="269">
        <v>2757.9549999999999</v>
      </c>
      <c r="G15" s="269">
        <v>2762.2820000000002</v>
      </c>
      <c r="H15" s="269">
        <v>2782.069</v>
      </c>
      <c r="I15" s="269">
        <v>2803.047</v>
      </c>
      <c r="K15" s="261"/>
      <c r="L15" s="261"/>
      <c r="M15" s="261"/>
      <c r="N15" s="261"/>
      <c r="O15" s="261"/>
      <c r="P15" s="261"/>
      <c r="Q15" s="261"/>
    </row>
    <row r="16" spans="1:17">
      <c r="A16" s="123">
        <v>13</v>
      </c>
      <c r="B16" s="264" t="s">
        <v>284</v>
      </c>
      <c r="C16" s="269">
        <v>917.39300000000003</v>
      </c>
      <c r="D16" s="269">
        <v>962.82</v>
      </c>
      <c r="E16" s="269">
        <v>881.40899999999988</v>
      </c>
      <c r="F16" s="269">
        <v>929.7399999999999</v>
      </c>
      <c r="G16" s="269">
        <v>881.99199999999996</v>
      </c>
      <c r="H16" s="269">
        <v>867.899</v>
      </c>
      <c r="I16" s="269">
        <v>865.30199999999991</v>
      </c>
      <c r="K16" s="261"/>
      <c r="L16" s="261"/>
      <c r="M16" s="261"/>
      <c r="N16" s="261"/>
      <c r="O16" s="261"/>
      <c r="P16" s="261"/>
      <c r="Q16" s="261"/>
    </row>
    <row r="17" spans="1:17" ht="15" customHeight="1">
      <c r="A17" s="123">
        <v>14</v>
      </c>
      <c r="B17" s="123" t="s">
        <v>84</v>
      </c>
      <c r="C17" s="269">
        <v>61.611999999999995</v>
      </c>
      <c r="D17" s="269">
        <v>60.69</v>
      </c>
      <c r="E17" s="269">
        <v>60.469000000000001</v>
      </c>
      <c r="F17" s="269">
        <v>60.471999999999994</v>
      </c>
      <c r="G17" s="269">
        <v>60.471999999999994</v>
      </c>
      <c r="H17" s="269">
        <v>60.471999999999994</v>
      </c>
      <c r="I17" s="269">
        <v>60.471999999999994</v>
      </c>
      <c r="K17" s="261"/>
      <c r="L17" s="261"/>
      <c r="M17" s="261"/>
      <c r="N17" s="261"/>
      <c r="O17" s="261"/>
      <c r="P17" s="261"/>
      <c r="Q17" s="261"/>
    </row>
    <row r="18" spans="1:17" s="141" customFormat="1" ht="15" customHeight="1">
      <c r="A18" s="39"/>
      <c r="B18" s="39" t="s">
        <v>188</v>
      </c>
      <c r="C18" s="266">
        <f t="shared" ref="C18:I18" si="0">SUM(C4:C17)</f>
        <v>4880.7169999999996</v>
      </c>
      <c r="D18" s="266">
        <f t="shared" si="0"/>
        <v>5022.0739999999996</v>
      </c>
      <c r="E18" s="266">
        <f t="shared" si="0"/>
        <v>4887.2659999999996</v>
      </c>
      <c r="F18" s="266">
        <f t="shared" si="0"/>
        <v>4874.9449999999997</v>
      </c>
      <c r="G18" s="266">
        <f t="shared" si="0"/>
        <v>4819.384</v>
      </c>
      <c r="H18" s="266">
        <f t="shared" si="0"/>
        <v>4843.49</v>
      </c>
      <c r="I18" s="266">
        <f t="shared" si="0"/>
        <v>4834.1899999999996</v>
      </c>
    </row>
    <row r="19" spans="1:17" ht="15" customHeight="1">
      <c r="C19" s="270"/>
      <c r="D19" s="270"/>
      <c r="E19" s="270"/>
      <c r="F19" s="270"/>
      <c r="G19" s="270"/>
      <c r="H19" s="270"/>
      <c r="I19" s="270"/>
      <c r="K19" s="267"/>
      <c r="L19" s="267"/>
      <c r="M19" s="267"/>
      <c r="N19" s="267"/>
      <c r="O19" s="267"/>
      <c r="P19" s="267"/>
      <c r="Q19" s="267"/>
    </row>
    <row r="20" spans="1:17" s="123" customFormat="1" ht="15" customHeight="1">
      <c r="B20" s="39" t="s">
        <v>428</v>
      </c>
      <c r="C20" s="39">
        <f>C3</f>
        <v>2015</v>
      </c>
      <c r="D20" s="39">
        <f t="shared" ref="D20:I20" si="1">D3</f>
        <v>2016</v>
      </c>
      <c r="E20" s="39">
        <f t="shared" si="1"/>
        <v>2017</v>
      </c>
      <c r="F20" s="39">
        <f t="shared" si="1"/>
        <v>2018</v>
      </c>
      <c r="G20" s="39">
        <f t="shared" si="1"/>
        <v>2019</v>
      </c>
      <c r="H20" s="39">
        <f t="shared" si="1"/>
        <v>2020</v>
      </c>
      <c r="I20" s="39">
        <f t="shared" si="1"/>
        <v>2021</v>
      </c>
    </row>
    <row r="21" spans="1:17" s="123" customFormat="1" ht="15" customHeight="1">
      <c r="A21" s="123">
        <v>1</v>
      </c>
      <c r="B21" s="123" t="s">
        <v>146</v>
      </c>
      <c r="C21" s="263">
        <f>+C4/C$18*100</f>
        <v>0.43075638271999789</v>
      </c>
      <c r="D21" s="263">
        <f t="shared" ref="D21:I21" si="2">+D4/D$18*100</f>
        <v>0.45959099766351519</v>
      </c>
      <c r="E21" s="263">
        <f t="shared" si="2"/>
        <v>0.44718253518429318</v>
      </c>
      <c r="F21" s="263">
        <f t="shared" si="2"/>
        <v>0.43241513493998396</v>
      </c>
      <c r="G21" s="263">
        <f t="shared" si="2"/>
        <v>0.43742104800115528</v>
      </c>
      <c r="H21" s="263">
        <f t="shared" si="2"/>
        <v>0.43524400793642598</v>
      </c>
      <c r="I21" s="263">
        <f t="shared" si="2"/>
        <v>0.43614338699968352</v>
      </c>
    </row>
    <row r="22" spans="1:17" s="123" customFormat="1" ht="15" customHeight="1">
      <c r="A22" s="123">
        <v>2</v>
      </c>
      <c r="B22" s="123" t="s">
        <v>160</v>
      </c>
      <c r="C22" s="263">
        <f t="shared" ref="C22:I22" si="3">+C5/C$18*100</f>
        <v>0.64343005341223436</v>
      </c>
      <c r="D22" s="263">
        <f t="shared" si="3"/>
        <v>0.55160477523827811</v>
      </c>
      <c r="E22" s="263">
        <f t="shared" si="3"/>
        <v>0.50635672377971652</v>
      </c>
      <c r="F22" s="263">
        <f t="shared" si="3"/>
        <v>0.48080542447145558</v>
      </c>
      <c r="G22" s="263">
        <f t="shared" si="3"/>
        <v>0.49450303192275197</v>
      </c>
      <c r="H22" s="263">
        <f t="shared" si="3"/>
        <v>0.4945194477535827</v>
      </c>
      <c r="I22" s="263">
        <f t="shared" si="3"/>
        <v>0.4954708027611659</v>
      </c>
    </row>
    <row r="23" spans="1:17" s="123" customFormat="1" ht="15" customHeight="1">
      <c r="A23" s="123">
        <v>3</v>
      </c>
      <c r="B23" s="123" t="s">
        <v>132</v>
      </c>
      <c r="C23" s="263">
        <f t="shared" ref="C23:I23" si="4">+C6/C$18*100</f>
        <v>2.6364159200379782</v>
      </c>
      <c r="D23" s="263">
        <f t="shared" si="4"/>
        <v>2.6510959416368616</v>
      </c>
      <c r="E23" s="263">
        <f t="shared" si="4"/>
        <v>2.4248117454625966</v>
      </c>
      <c r="F23" s="263">
        <f t="shared" si="4"/>
        <v>2.4503045675387107</v>
      </c>
      <c r="G23" s="263">
        <f t="shared" si="4"/>
        <v>2.4785532756883453</v>
      </c>
      <c r="H23" s="263">
        <f t="shared" si="4"/>
        <v>2.4692318968347204</v>
      </c>
      <c r="I23" s="263">
        <f t="shared" si="4"/>
        <v>2.4670937633812491</v>
      </c>
    </row>
    <row r="24" spans="1:17" s="123" customFormat="1" ht="15" customHeight="1">
      <c r="A24" s="123">
        <v>4</v>
      </c>
      <c r="B24" s="123" t="s">
        <v>439</v>
      </c>
      <c r="C24" s="263">
        <f t="shared" ref="C24:I24" si="5">+C7/C$18*100</f>
        <v>1.8138933275582254</v>
      </c>
      <c r="D24" s="263">
        <f t="shared" si="5"/>
        <v>1.7196480975788089</v>
      </c>
      <c r="E24" s="263">
        <f t="shared" si="5"/>
        <v>1.7524112663399132</v>
      </c>
      <c r="F24" s="263">
        <f t="shared" si="5"/>
        <v>1.4301904944568606</v>
      </c>
      <c r="G24" s="263">
        <f t="shared" si="5"/>
        <v>1.453069520918026</v>
      </c>
      <c r="H24" s="263">
        <f t="shared" si="5"/>
        <v>1.4660709529698623</v>
      </c>
      <c r="I24" s="263">
        <f t="shared" si="5"/>
        <v>1.3955802316417021</v>
      </c>
    </row>
    <row r="25" spans="1:17" s="123" customFormat="1" ht="15" customHeight="1">
      <c r="A25" s="123">
        <v>5</v>
      </c>
      <c r="B25" s="123" t="s">
        <v>223</v>
      </c>
      <c r="C25" s="263">
        <f t="shared" ref="C25:I25" si="6">+C8/C$18*100</f>
        <v>2.37852348333247</v>
      </c>
      <c r="D25" s="263">
        <f t="shared" si="6"/>
        <v>2.2391147561744411</v>
      </c>
      <c r="E25" s="263">
        <f t="shared" si="6"/>
        <v>2.5111381291707886</v>
      </c>
      <c r="F25" s="263">
        <f t="shared" si="6"/>
        <v>2.4758638302585978</v>
      </c>
      <c r="G25" s="263">
        <f t="shared" si="6"/>
        <v>2.4351244889388357</v>
      </c>
      <c r="H25" s="263">
        <f t="shared" si="6"/>
        <v>2.5268143425505163</v>
      </c>
      <c r="I25" s="263">
        <f t="shared" si="6"/>
        <v>2.3524726996663357</v>
      </c>
    </row>
    <row r="26" spans="1:17" s="123" customFormat="1" ht="15" customHeight="1">
      <c r="A26" s="123">
        <v>6</v>
      </c>
      <c r="B26" s="123" t="s">
        <v>224</v>
      </c>
      <c r="C26" s="263">
        <f t="shared" ref="C26:I26" si="7">+C9/C$18*100</f>
        <v>7.2976163133408471</v>
      </c>
      <c r="D26" s="263">
        <f t="shared" si="7"/>
        <v>7.6441725072151483</v>
      </c>
      <c r="E26" s="263">
        <f t="shared" si="7"/>
        <v>7.914895567378573</v>
      </c>
      <c r="F26" s="263">
        <f t="shared" si="7"/>
        <v>7.8438013146815004</v>
      </c>
      <c r="G26" s="263">
        <f t="shared" si="7"/>
        <v>7.7548707469668328</v>
      </c>
      <c r="H26" s="263">
        <f t="shared" si="7"/>
        <v>8.1435493827797742</v>
      </c>
      <c r="I26" s="263">
        <f t="shared" si="7"/>
        <v>8.2561090896303213</v>
      </c>
    </row>
    <row r="27" spans="1:17" s="123" customFormat="1" ht="15" customHeight="1">
      <c r="A27" s="123">
        <v>7</v>
      </c>
      <c r="B27" s="123" t="s">
        <v>136</v>
      </c>
      <c r="C27" s="263">
        <f t="shared" ref="C27:I27" si="8">+C10/C$18*100</f>
        <v>4.2910498600922775</v>
      </c>
      <c r="D27" s="263">
        <f t="shared" si="8"/>
        <v>4.2010930145593237</v>
      </c>
      <c r="E27" s="263">
        <f t="shared" si="8"/>
        <v>4.189213355688028</v>
      </c>
      <c r="F27" s="263">
        <f t="shared" si="8"/>
        <v>3.9948758396248576</v>
      </c>
      <c r="G27" s="263">
        <f t="shared" si="8"/>
        <v>4.119426881111778</v>
      </c>
      <c r="H27" s="263">
        <f t="shared" si="8"/>
        <v>3.9433548949208115</v>
      </c>
      <c r="I27" s="263">
        <f t="shared" si="8"/>
        <v>3.7290838796158208</v>
      </c>
    </row>
    <row r="28" spans="1:17" s="123" customFormat="1" ht="15" customHeight="1">
      <c r="A28" s="123">
        <v>8</v>
      </c>
      <c r="B28" s="123" t="s">
        <v>280</v>
      </c>
      <c r="C28" s="263">
        <f t="shared" ref="C28:I28" si="9">+C11/C$18*100</f>
        <v>2.046502593778742</v>
      </c>
      <c r="D28" s="263">
        <f t="shared" si="9"/>
        <v>1.754653555483253</v>
      </c>
      <c r="E28" s="263">
        <f t="shared" si="9"/>
        <v>1.4498085432632477</v>
      </c>
      <c r="F28" s="263">
        <f t="shared" si="9"/>
        <v>1.3593178999968207</v>
      </c>
      <c r="G28" s="263">
        <f t="shared" si="9"/>
        <v>1.2906213740179244</v>
      </c>
      <c r="H28" s="263">
        <f t="shared" si="9"/>
        <v>1.2725121761374547</v>
      </c>
      <c r="I28" s="263">
        <f t="shared" si="9"/>
        <v>1.2879510321274092</v>
      </c>
    </row>
    <row r="29" spans="1:17" s="123" customFormat="1" ht="15" customHeight="1">
      <c r="A29" s="123">
        <v>9</v>
      </c>
      <c r="B29" s="123" t="s">
        <v>143</v>
      </c>
      <c r="C29" s="263">
        <f t="shared" ref="C29:I29" si="10">+C12/C$18*100</f>
        <v>0.68643602978824636</v>
      </c>
      <c r="D29" s="263">
        <f t="shared" si="10"/>
        <v>0.66954409672179271</v>
      </c>
      <c r="E29" s="263">
        <f t="shared" si="10"/>
        <v>0.62752876557158943</v>
      </c>
      <c r="F29" s="263">
        <f t="shared" si="10"/>
        <v>0.59680673320416955</v>
      </c>
      <c r="G29" s="263">
        <f t="shared" si="10"/>
        <v>0.58605000141096864</v>
      </c>
      <c r="H29" s="263">
        <f t="shared" si="10"/>
        <v>0.57421404813471288</v>
      </c>
      <c r="I29" s="263">
        <f t="shared" si="10"/>
        <v>0.57531871937180801</v>
      </c>
    </row>
    <row r="30" spans="1:17" s="123" customFormat="1" ht="15" customHeight="1">
      <c r="A30" s="123">
        <v>10</v>
      </c>
      <c r="B30" s="123" t="s">
        <v>98</v>
      </c>
      <c r="C30" s="263">
        <f t="shared" ref="C30:I30" si="11">+C13/C$18*100</f>
        <v>0.46011682299957163</v>
      </c>
      <c r="D30" s="263">
        <f t="shared" si="11"/>
        <v>0.43942004837045406</v>
      </c>
      <c r="E30" s="263">
        <f t="shared" si="11"/>
        <v>0.34452800400060068</v>
      </c>
      <c r="F30" s="263">
        <f t="shared" si="11"/>
        <v>0.33743970444794763</v>
      </c>
      <c r="G30" s="263">
        <f t="shared" si="11"/>
        <v>0.34245040445002933</v>
      </c>
      <c r="H30" s="263">
        <f t="shared" si="11"/>
        <v>0.34074603230315337</v>
      </c>
      <c r="I30" s="263">
        <f t="shared" si="11"/>
        <v>0.13737565135007107</v>
      </c>
    </row>
    <row r="31" spans="1:17" s="123" customFormat="1" ht="15" customHeight="1">
      <c r="A31" s="123">
        <v>11</v>
      </c>
      <c r="B31" s="123" t="s">
        <v>281</v>
      </c>
      <c r="C31" s="263">
        <f t="shared" ref="C31:I31" si="12">+C14/C$18*100</f>
        <v>1.7688794494743292</v>
      </c>
      <c r="D31" s="263">
        <f t="shared" si="12"/>
        <v>1.8151265791782438</v>
      </c>
      <c r="E31" s="263">
        <f t="shared" si="12"/>
        <v>1.7816300565592302</v>
      </c>
      <c r="F31" s="263">
        <f t="shared" si="12"/>
        <v>1.7118346976222296</v>
      </c>
      <c r="G31" s="263">
        <f t="shared" si="12"/>
        <v>1.7361347425314106</v>
      </c>
      <c r="H31" s="263">
        <f t="shared" si="12"/>
        <v>1.7269985072747136</v>
      </c>
      <c r="I31" s="263">
        <f t="shared" si="12"/>
        <v>1.7330514522598415</v>
      </c>
    </row>
    <row r="32" spans="1:17" s="123" customFormat="1" ht="15" customHeight="1">
      <c r="A32" s="123">
        <v>12</v>
      </c>
      <c r="B32" s="264" t="s">
        <v>282</v>
      </c>
      <c r="C32" s="263">
        <f t="shared" ref="C32:I32" si="13">+C15/C$18*100</f>
        <v>55.487749033594859</v>
      </c>
      <c r="D32" s="263">
        <f t="shared" si="13"/>
        <v>55.474710249191872</v>
      </c>
      <c r="E32" s="263">
        <f t="shared" si="13"/>
        <v>56.778411488140812</v>
      </c>
      <c r="F32" s="263">
        <f t="shared" si="13"/>
        <v>56.574074169041907</v>
      </c>
      <c r="G32" s="263">
        <f t="shared" si="13"/>
        <v>57.316080229340514</v>
      </c>
      <c r="H32" s="263">
        <f t="shared" si="13"/>
        <v>57.439346421691795</v>
      </c>
      <c r="I32" s="263">
        <f t="shared" si="13"/>
        <v>57.983798733603777</v>
      </c>
    </row>
    <row r="33" spans="1:9" s="123" customFormat="1" ht="15" customHeight="1">
      <c r="A33" s="123">
        <v>13</v>
      </c>
      <c r="B33" s="264" t="s">
        <v>284</v>
      </c>
      <c r="C33" s="263">
        <f t="shared" ref="C33:I33" si="14">+C16/C$18*100</f>
        <v>18.796275219399121</v>
      </c>
      <c r="D33" s="263">
        <f t="shared" si="14"/>
        <v>19.17176051169298</v>
      </c>
      <c r="E33" s="263">
        <f t="shared" si="14"/>
        <v>18.034807190768827</v>
      </c>
      <c r="F33" s="263">
        <f t="shared" si="14"/>
        <v>19.07180491267081</v>
      </c>
      <c r="G33" s="263">
        <f t="shared" si="14"/>
        <v>18.300928085415062</v>
      </c>
      <c r="H33" s="263">
        <f t="shared" si="14"/>
        <v>17.918876677767479</v>
      </c>
      <c r="I33" s="263">
        <f t="shared" si="14"/>
        <v>17.899627445342446</v>
      </c>
    </row>
    <row r="34" spans="1:9" s="123" customFormat="1" ht="15" customHeight="1">
      <c r="A34" s="123">
        <v>14</v>
      </c>
      <c r="B34" s="123" t="s">
        <v>84</v>
      </c>
      <c r="C34" s="263">
        <f t="shared" ref="C34:I34" si="15">+C17/C$18*100</f>
        <v>1.2623555104711048</v>
      </c>
      <c r="D34" s="263">
        <f t="shared" si="15"/>
        <v>1.2084648692950364</v>
      </c>
      <c r="E34" s="263">
        <f t="shared" si="15"/>
        <v>1.237276628691788</v>
      </c>
      <c r="F34" s="263">
        <f t="shared" si="15"/>
        <v>1.2404652770441513</v>
      </c>
      <c r="G34" s="263">
        <f t="shared" si="15"/>
        <v>1.2547661692863652</v>
      </c>
      <c r="H34" s="263">
        <f t="shared" si="15"/>
        <v>1.2485212109450003</v>
      </c>
      <c r="I34" s="263">
        <f t="shared" si="15"/>
        <v>1.2509231122483808</v>
      </c>
    </row>
    <row r="35" spans="1:9" s="39" customFormat="1" ht="15" customHeight="1">
      <c r="B35" s="39" t="s">
        <v>188</v>
      </c>
      <c r="C35" s="265">
        <f t="shared" ref="C35:I35" si="16">SUM(C21:C34)</f>
        <v>100</v>
      </c>
      <c r="D35" s="265">
        <f t="shared" si="16"/>
        <v>100.00000000000001</v>
      </c>
      <c r="E35" s="265">
        <f t="shared" si="16"/>
        <v>100.00000000000001</v>
      </c>
      <c r="F35" s="265">
        <f t="shared" si="16"/>
        <v>100.00000000000001</v>
      </c>
      <c r="G35" s="265">
        <f t="shared" si="16"/>
        <v>100.00000000000001</v>
      </c>
      <c r="H35" s="265">
        <f t="shared" si="16"/>
        <v>100</v>
      </c>
      <c r="I35" s="265">
        <f t="shared" si="16"/>
        <v>100.00000000000001</v>
      </c>
    </row>
    <row r="36" spans="1:9" s="123" customFormat="1" ht="15" customHeight="1"/>
    <row r="37" spans="1:9" s="123" customFormat="1" ht="15" customHeight="1"/>
  </sheetData>
  <pageMargins left="0.70866141732283472" right="0.70866141732283472" top="0.74803149606299213" bottom="0.74803149606299213" header="0.31496062992125984" footer="0.31496062992125984"/>
  <pageSetup paperSize="9" scale="73" orientation="landscape" r:id="rId1"/>
  <headerFooter>
    <oddFooter>&amp;L&amp;Z&amp;F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Inhoud</vt:lpstr>
      <vt:lpstr>Toelichting</vt:lpstr>
      <vt:lpstr>Totaal</vt:lpstr>
      <vt:lpstr>R&amp;D</vt:lpstr>
      <vt:lpstr>Innovatie</vt:lpstr>
      <vt:lpstr>R&amp;D + Innovatie</vt:lpstr>
      <vt:lpstr>Fiscaal</vt:lpstr>
      <vt:lpstr>Type</vt:lpstr>
      <vt:lpstr>NABS 2007</vt:lpstr>
      <vt:lpstr>Inhoud!Print_Area</vt:lpstr>
      <vt:lpstr>'R&amp;D'!Print_Area</vt:lpstr>
    </vt:vector>
  </TitlesOfParts>
  <Company>KNAW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van Steen</dc:creator>
  <cp:lastModifiedBy>Alexandra Vennekens</cp:lastModifiedBy>
  <cp:lastPrinted>2017-03-21T14:13:28Z</cp:lastPrinted>
  <dcterms:created xsi:type="dcterms:W3CDTF">2013-11-20T12:43:27Z</dcterms:created>
  <dcterms:modified xsi:type="dcterms:W3CDTF">2017-04-10T12:25:09Z</dcterms:modified>
</cp:coreProperties>
</file>